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oud\QuickDeal\"/>
    </mc:Choice>
  </mc:AlternateContent>
  <bookViews>
    <workbookView xWindow="0" yWindow="0" windowWidth="20490" windowHeight="7485" tabRatio="818" activeTab="3"/>
  </bookViews>
  <sheets>
    <sheet name="备注" sheetId="4" r:id="rId1"/>
    <sheet name="初始底部资产明细" sheetId="15" r:id="rId2"/>
    <sheet name="配置-常压有循环保费7资1.5托1.5" sheetId="14" r:id="rId3"/>
    <sheet name="测算-常压有循环保费7资1.5托1.5" sheetId="10" r:id="rId4"/>
  </sheets>
  <calcPr calcId="162913" concurrentCalc="0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4" l="1"/>
  <c r="D76" i="10"/>
  <c r="D60" i="10"/>
  <c r="E60" i="10"/>
  <c r="D61" i="10"/>
  <c r="E61" i="10"/>
  <c r="D62" i="10"/>
  <c r="E62" i="10"/>
  <c r="D63" i="10"/>
  <c r="E63" i="10"/>
  <c r="D64" i="10"/>
  <c r="E64" i="10"/>
  <c r="D65" i="10"/>
  <c r="E65" i="10"/>
  <c r="D66" i="10"/>
  <c r="E66" i="10"/>
  <c r="D67" i="10"/>
  <c r="E67" i="10"/>
  <c r="D68" i="10"/>
  <c r="E68" i="10"/>
  <c r="D69" i="10"/>
  <c r="E69" i="10"/>
  <c r="E70" i="10"/>
  <c r="E71" i="10"/>
  <c r="E72" i="10"/>
  <c r="L15" i="10"/>
  <c r="C26" i="10"/>
  <c r="D38" i="10"/>
  <c r="E38" i="10"/>
  <c r="D39" i="10"/>
  <c r="Q15" i="10"/>
  <c r="R15" i="10"/>
  <c r="T15" i="10"/>
  <c r="C18" i="10"/>
  <c r="D92" i="10"/>
  <c r="D93" i="10"/>
  <c r="D94" i="10"/>
  <c r="D95" i="10"/>
  <c r="D96" i="10"/>
  <c r="D97" i="10"/>
  <c r="D98" i="10"/>
  <c r="D99" i="10"/>
  <c r="D100" i="10"/>
  <c r="D101" i="10"/>
  <c r="D104" i="10"/>
  <c r="E93" i="10"/>
  <c r="E94" i="10"/>
  <c r="E95" i="10"/>
  <c r="E96" i="10"/>
  <c r="E97" i="10"/>
  <c r="E98" i="10"/>
  <c r="E99" i="10"/>
  <c r="E100" i="10"/>
  <c r="E101" i="10"/>
  <c r="E102" i="10"/>
  <c r="E104" i="10"/>
  <c r="F94" i="10"/>
  <c r="F95" i="10"/>
  <c r="F96" i="10"/>
  <c r="F97" i="10"/>
  <c r="F98" i="10"/>
  <c r="F99" i="10"/>
  <c r="F100" i="10"/>
  <c r="F101" i="10"/>
  <c r="F102" i="10"/>
  <c r="F103" i="10"/>
  <c r="F104" i="10"/>
  <c r="G95" i="10"/>
  <c r="G96" i="10"/>
  <c r="G97" i="10"/>
  <c r="G98" i="10"/>
  <c r="G99" i="10"/>
  <c r="G100" i="10"/>
  <c r="G101" i="10"/>
  <c r="G102" i="10"/>
  <c r="G103" i="10"/>
  <c r="G104" i="10"/>
  <c r="H96" i="10"/>
  <c r="H97" i="10"/>
  <c r="H98" i="10"/>
  <c r="H99" i="10"/>
  <c r="H100" i="10"/>
  <c r="H101" i="10"/>
  <c r="H104" i="10"/>
  <c r="I97" i="10"/>
  <c r="I98" i="10"/>
  <c r="I99" i="10"/>
  <c r="I100" i="10"/>
  <c r="I101" i="10"/>
  <c r="I102" i="10"/>
  <c r="I104" i="10"/>
  <c r="J98" i="10"/>
  <c r="J99" i="10"/>
  <c r="J100" i="10"/>
  <c r="J101" i="10"/>
  <c r="J102" i="10"/>
  <c r="J103" i="10"/>
  <c r="J104" i="10"/>
  <c r="K99" i="10"/>
  <c r="K100" i="10"/>
  <c r="K101" i="10"/>
  <c r="K102" i="10"/>
  <c r="K103" i="10"/>
  <c r="K104" i="10"/>
  <c r="L100" i="10"/>
  <c r="L101" i="10"/>
  <c r="L102" i="10"/>
  <c r="L104" i="10"/>
  <c r="M101" i="10"/>
  <c r="M102" i="10"/>
  <c r="M103" i="10"/>
  <c r="M104" i="10"/>
  <c r="N104" i="10"/>
  <c r="D77" i="10"/>
  <c r="D78" i="10"/>
  <c r="D79" i="10"/>
  <c r="D80" i="10"/>
  <c r="D81" i="10"/>
  <c r="D82" i="10"/>
  <c r="D83" i="10"/>
  <c r="D84" i="10"/>
  <c r="D85" i="10"/>
  <c r="D88" i="10"/>
  <c r="E77" i="10"/>
  <c r="E78" i="10"/>
  <c r="E79" i="10"/>
  <c r="E80" i="10"/>
  <c r="E81" i="10"/>
  <c r="E82" i="10"/>
  <c r="E83" i="10"/>
  <c r="E84" i="10"/>
  <c r="E85" i="10"/>
  <c r="E86" i="10"/>
  <c r="E88" i="10"/>
  <c r="F78" i="10"/>
  <c r="F79" i="10"/>
  <c r="F80" i="10"/>
  <c r="F81" i="10"/>
  <c r="F82" i="10"/>
  <c r="F83" i="10"/>
  <c r="F84" i="10"/>
  <c r="F85" i="10"/>
  <c r="F86" i="10"/>
  <c r="F87" i="10"/>
  <c r="F88" i="10"/>
  <c r="G79" i="10"/>
  <c r="G80" i="10"/>
  <c r="G81" i="10"/>
  <c r="G82" i="10"/>
  <c r="G83" i="10"/>
  <c r="G84" i="10"/>
  <c r="G85" i="10"/>
  <c r="G86" i="10"/>
  <c r="G87" i="10"/>
  <c r="G88" i="10"/>
  <c r="H80" i="10"/>
  <c r="H81" i="10"/>
  <c r="H82" i="10"/>
  <c r="H83" i="10"/>
  <c r="H84" i="10"/>
  <c r="H85" i="10"/>
  <c r="H88" i="10"/>
  <c r="I81" i="10"/>
  <c r="I82" i="10"/>
  <c r="I83" i="10"/>
  <c r="I84" i="10"/>
  <c r="I85" i="10"/>
  <c r="I86" i="10"/>
  <c r="I88" i="10"/>
  <c r="J82" i="10"/>
  <c r="J83" i="10"/>
  <c r="J84" i="10"/>
  <c r="J85" i="10"/>
  <c r="J86" i="10"/>
  <c r="J87" i="10"/>
  <c r="J88" i="10"/>
  <c r="K83" i="10"/>
  <c r="K84" i="10"/>
  <c r="K85" i="10"/>
  <c r="K86" i="10"/>
  <c r="K87" i="10"/>
  <c r="K88" i="10"/>
  <c r="L84" i="10"/>
  <c r="L85" i="10"/>
  <c r="L86" i="10"/>
  <c r="L88" i="10"/>
  <c r="M85" i="10"/>
  <c r="M86" i="10"/>
  <c r="M87" i="10"/>
  <c r="M88" i="10"/>
  <c r="N88" i="10"/>
  <c r="C20" i="10"/>
  <c r="U15" i="10"/>
  <c r="E39" i="10"/>
  <c r="D40" i="10"/>
  <c r="E40" i="10"/>
  <c r="D41" i="10"/>
  <c r="E41" i="10"/>
  <c r="D42" i="10"/>
  <c r="E42" i="10"/>
  <c r="D43" i="10"/>
  <c r="E43" i="10"/>
  <c r="D44" i="10"/>
  <c r="E44" i="10"/>
  <c r="D45" i="10"/>
  <c r="E45" i="10"/>
  <c r="D46" i="10"/>
  <c r="E46" i="10"/>
  <c r="D47" i="10"/>
  <c r="E47" i="10"/>
  <c r="D48" i="10"/>
  <c r="E48" i="10"/>
  <c r="D49" i="10"/>
  <c r="E49" i="10"/>
  <c r="D50" i="10"/>
  <c r="E50" i="10"/>
  <c r="D51" i="10"/>
  <c r="E51" i="10"/>
  <c r="D52" i="10"/>
  <c r="E52" i="10"/>
  <c r="D53" i="10"/>
  <c r="E53" i="10"/>
  <c r="D54" i="10"/>
  <c r="E54" i="10"/>
  <c r="D55" i="10"/>
  <c r="E55" i="10"/>
  <c r="D56" i="10"/>
  <c r="E56" i="10"/>
  <c r="D57" i="10"/>
  <c r="E57" i="10"/>
  <c r="E58" i="10"/>
  <c r="B15" i="10"/>
  <c r="C15" i="10"/>
  <c r="D15" i="10"/>
  <c r="E15" i="10"/>
  <c r="F15" i="10"/>
  <c r="G15" i="10"/>
  <c r="H15" i="10"/>
  <c r="I15" i="10"/>
  <c r="J15" i="10"/>
  <c r="K15" i="10"/>
  <c r="M15" i="10"/>
  <c r="N15" i="10"/>
  <c r="O15" i="10"/>
  <c r="P15" i="10"/>
  <c r="C104" i="10"/>
  <c r="B104" i="10"/>
  <c r="C88" i="10"/>
  <c r="B88" i="10"/>
  <c r="C33" i="10"/>
  <c r="C23" i="10"/>
  <c r="C34" i="10"/>
  <c r="S15" i="10"/>
  <c r="E24" i="14"/>
  <c r="E23" i="14"/>
  <c r="C19" i="10"/>
  <c r="C22" i="10"/>
  <c r="C24" i="10"/>
  <c r="C25" i="10"/>
  <c r="C27" i="10"/>
  <c r="C28" i="10"/>
  <c r="C29" i="10"/>
  <c r="C30" i="10"/>
  <c r="C31" i="10"/>
</calcChain>
</file>

<file path=xl/sharedStrings.xml><?xml version="1.0" encoding="utf-8"?>
<sst xmlns="http://schemas.openxmlformats.org/spreadsheetml/2006/main" count="226" uniqueCount="171">
  <si>
    <t>资产情况</t>
    <phoneticPr fontId="4" type="noConversion"/>
  </si>
  <si>
    <t>资产类型</t>
    <phoneticPr fontId="4" type="noConversion"/>
  </si>
  <si>
    <t>期限</t>
    <phoneticPr fontId="4" type="noConversion"/>
  </si>
  <si>
    <t>平均利率</t>
    <phoneticPr fontId="4" type="noConversion"/>
  </si>
  <si>
    <t>还款方式</t>
    <phoneticPr fontId="4" type="noConversion"/>
  </si>
  <si>
    <t>现金分期</t>
    <phoneticPr fontId="4" type="noConversion"/>
  </si>
  <si>
    <t>5，10</t>
    <phoneticPr fontId="4" type="noConversion"/>
  </si>
  <si>
    <t>等额本息</t>
    <phoneticPr fontId="4" type="noConversion"/>
  </si>
  <si>
    <t>信用卡代偿</t>
    <phoneticPr fontId="4" type="noConversion"/>
  </si>
  <si>
    <t>3，6，9，12</t>
    <phoneticPr fontId="4" type="noConversion"/>
  </si>
  <si>
    <t>信托计划 - 资产分布</t>
    <phoneticPr fontId="4" type="noConversion"/>
  </si>
  <si>
    <t>信托计划规模</t>
    <phoneticPr fontId="4" type="noConversion"/>
  </si>
  <si>
    <t>信托计划 - 放款周期</t>
    <phoneticPr fontId="4" type="noConversion"/>
  </si>
  <si>
    <t>放款周期</t>
    <phoneticPr fontId="4" type="noConversion"/>
  </si>
  <si>
    <t>天</t>
    <phoneticPr fontId="4" type="noConversion"/>
  </si>
  <si>
    <t>在账时间（首逾率，资金在途）</t>
    <phoneticPr fontId="4" type="noConversion"/>
  </si>
  <si>
    <t>信托计划 - 日期假设</t>
    <phoneticPr fontId="4" type="noConversion"/>
  </si>
  <si>
    <t>循环期</t>
    <phoneticPr fontId="4" type="noConversion"/>
  </si>
  <si>
    <t>摊还期</t>
    <phoneticPr fontId="4" type="noConversion"/>
  </si>
  <si>
    <t>项目</t>
    <phoneticPr fontId="4" type="noConversion"/>
  </si>
  <si>
    <t>开始日期</t>
    <phoneticPr fontId="4" type="noConversion"/>
  </si>
  <si>
    <t>截至日期</t>
    <phoneticPr fontId="4" type="noConversion"/>
  </si>
  <si>
    <t>Term</t>
    <phoneticPr fontId="4" type="noConversion"/>
  </si>
  <si>
    <t>信托计划</t>
    <phoneticPr fontId="4" type="noConversion"/>
  </si>
  <si>
    <t>信托计划 - 早偿假设</t>
    <phoneticPr fontId="4" type="noConversion"/>
  </si>
  <si>
    <t>提前结清金额占比</t>
    <phoneticPr fontId="4" type="noConversion"/>
  </si>
  <si>
    <t>总的</t>
    <phoneticPr fontId="4" type="noConversion"/>
  </si>
  <si>
    <t>提前结清合同占比</t>
    <phoneticPr fontId="4" type="noConversion"/>
  </si>
  <si>
    <t>信托计划 - 信托费用</t>
    <phoneticPr fontId="4" type="noConversion"/>
  </si>
  <si>
    <t>费用名称</t>
    <phoneticPr fontId="4" type="noConversion"/>
  </si>
  <si>
    <t>支付频率</t>
    <phoneticPr fontId="4" type="noConversion"/>
  </si>
  <si>
    <t>公式</t>
    <phoneticPr fontId="4" type="noConversion"/>
  </si>
  <si>
    <t>费率</t>
    <phoneticPr fontId="4" type="noConversion"/>
  </si>
  <si>
    <t>资产服务报酬</t>
    <phoneticPr fontId="4" type="noConversion"/>
  </si>
  <si>
    <t>每月计提，按季支付</t>
    <phoneticPr fontId="4" type="noConversion"/>
  </si>
  <si>
    <t>受托机构报酬</t>
    <phoneticPr fontId="4" type="noConversion"/>
  </si>
  <si>
    <t>增值税</t>
    <phoneticPr fontId="4" type="noConversion"/>
  </si>
  <si>
    <t>每月支付</t>
    <phoneticPr fontId="4" type="noConversion"/>
  </si>
  <si>
    <t>资产池利息收入*税率</t>
    <phoneticPr fontId="4" type="noConversion"/>
  </si>
  <si>
    <t>保费</t>
    <phoneticPr fontId="4" type="noConversion"/>
  </si>
  <si>
    <t>每笔资产放款的本息*费率</t>
    <phoneticPr fontId="4" type="noConversion"/>
  </si>
  <si>
    <t>资金方收益</t>
    <phoneticPr fontId="4" type="noConversion"/>
  </si>
  <si>
    <t>资产池首逾率</t>
    <phoneticPr fontId="4" type="noConversion"/>
  </si>
  <si>
    <t>早偿率</t>
    <phoneticPr fontId="4" type="noConversion"/>
  </si>
  <si>
    <t>信托规模*费率*计费期间/360</t>
    <phoneticPr fontId="4" type="noConversion"/>
  </si>
  <si>
    <t>信托规模（从封包日开始）*费率</t>
    <phoneticPr fontId="4" type="noConversion"/>
  </si>
  <si>
    <t>到期一次性还本付息</t>
    <phoneticPr fontId="3" type="noConversion"/>
  </si>
  <si>
    <t>请留意</t>
    <phoneticPr fontId="3" type="noConversion"/>
  </si>
  <si>
    <t>1、受托机构报酬按照信托规模测算</t>
    <phoneticPr fontId="3" type="noConversion"/>
  </si>
  <si>
    <t>2、资产服务机构费用按照信托规模测算</t>
    <phoneticPr fontId="3" type="noConversion"/>
  </si>
  <si>
    <t>3、以下临界值只是设想，实际测试中可以调整，请务必信托报酬不低于1.5%</t>
    <phoneticPr fontId="3" type="noConversion"/>
  </si>
  <si>
    <t>4、每期放款金额必须扣除保费，保费收取按照放款金额及放款期限比例收取</t>
    <phoneticPr fontId="3" type="noConversion"/>
  </si>
  <si>
    <t>保费收取</t>
    <phoneticPr fontId="3" type="noConversion"/>
  </si>
  <si>
    <t>放款前支付</t>
    <phoneticPr fontId="3" type="noConversion"/>
  </si>
  <si>
    <t>放款金额*费率*放款期数/12</t>
    <phoneticPr fontId="3" type="noConversion"/>
  </si>
  <si>
    <t>5、信托成立需扣除1%的信托保险基金，信托到期时信托监管机构予以归还</t>
    <phoneticPr fontId="3" type="noConversion"/>
  </si>
  <si>
    <t>期数</t>
    <phoneticPr fontId="4" type="noConversion"/>
  </si>
  <si>
    <t>总累积违约金额</t>
  </si>
  <si>
    <t>总累积早偿金额</t>
  </si>
  <si>
    <t>计划当期资产回收款总额</t>
  </si>
  <si>
    <t>计划当期资产回收款(利息部分)</t>
  </si>
  <si>
    <t>计划当期资产回收款(本金部分)</t>
  </si>
  <si>
    <t>调整后当期资产回收款总额</t>
  </si>
  <si>
    <t>调整后当期资产回收款(利息部分)</t>
  </si>
  <si>
    <t>调整后当期资产回收款(本金部分)</t>
  </si>
  <si>
    <t>增值税实付</t>
  </si>
  <si>
    <t>优先级当期应付利息</t>
  </si>
  <si>
    <t>优先级当期利息分配</t>
  </si>
  <si>
    <t>优先级当期本金分配</t>
  </si>
  <si>
    <t>模拟循环购买额</t>
  </si>
  <si>
    <t>循环购买本金回流</t>
  </si>
  <si>
    <t>循环购买利息回收款</t>
  </si>
  <si>
    <t>信托保险基金实付</t>
  </si>
  <si>
    <t>循环购买扣除保费金额</t>
  </si>
  <si>
    <t>总额</t>
    <phoneticPr fontId="4" type="noConversion"/>
  </si>
  <si>
    <t>入项</t>
    <phoneticPr fontId="4" type="noConversion"/>
  </si>
  <si>
    <t>出项</t>
    <phoneticPr fontId="4" type="noConversion"/>
  </si>
  <si>
    <t>总计</t>
    <phoneticPr fontId="4" type="noConversion"/>
  </si>
  <si>
    <t>早偿</t>
    <phoneticPr fontId="4" type="noConversion"/>
  </si>
  <si>
    <t>资产服务费实付</t>
  </si>
  <si>
    <t>资产服务费实付</t>
    <phoneticPr fontId="3" type="noConversion"/>
  </si>
  <si>
    <t>信托费用实付</t>
  </si>
  <si>
    <t>信托费用实付</t>
    <phoneticPr fontId="3" type="noConversion"/>
  </si>
  <si>
    <t>基于初始资产池的保费金额</t>
    <phoneticPr fontId="3" type="noConversion"/>
  </si>
  <si>
    <t>循环购买扣除保费金额</t>
    <phoneticPr fontId="3" type="noConversion"/>
  </si>
  <si>
    <t>保费总额</t>
    <phoneticPr fontId="3" type="noConversion"/>
  </si>
  <si>
    <t>信托收益留存</t>
    <phoneticPr fontId="3" type="noConversion"/>
  </si>
  <si>
    <t>测算情景</t>
    <phoneticPr fontId="4" type="noConversion"/>
  </si>
  <si>
    <t>合同金额</t>
  </si>
  <si>
    <t>还款日</t>
  </si>
  <si>
    <t>还本付息方式</t>
  </si>
  <si>
    <t>利率</t>
  </si>
  <si>
    <t>计日规则</t>
  </si>
  <si>
    <t>可用金额</t>
    <phoneticPr fontId="3" type="noConversion"/>
  </si>
  <si>
    <t>期数</t>
  </si>
  <si>
    <t>期数</t>
    <phoneticPr fontId="3" type="noConversion"/>
  </si>
  <si>
    <t>资产金额</t>
    <phoneticPr fontId="3" type="noConversion"/>
  </si>
  <si>
    <t>保费</t>
    <phoneticPr fontId="3" type="noConversion"/>
  </si>
  <si>
    <t>初始资产保费</t>
    <phoneticPr fontId="3" type="noConversion"/>
  </si>
  <si>
    <t>保费费率</t>
    <phoneticPr fontId="3" type="noConversion"/>
  </si>
  <si>
    <t>循环购买保费</t>
    <phoneticPr fontId="3" type="noConversion"/>
  </si>
  <si>
    <t>循环购买金额</t>
    <phoneticPr fontId="3" type="noConversion"/>
  </si>
  <si>
    <t>期数</t>
    <phoneticPr fontId="3" type="noConversion"/>
  </si>
  <si>
    <t>本金-1</t>
    <phoneticPr fontId="3" type="noConversion"/>
  </si>
  <si>
    <t>本金-2</t>
    <phoneticPr fontId="3" type="noConversion"/>
  </si>
  <si>
    <t>本金-3</t>
  </si>
  <si>
    <t>本金-4</t>
  </si>
  <si>
    <t>本金-5</t>
  </si>
  <si>
    <t>本金-6</t>
  </si>
  <si>
    <t>本金-7</t>
  </si>
  <si>
    <t>本金-8</t>
  </si>
  <si>
    <t>本金-9</t>
  </si>
  <si>
    <t>本金-10</t>
  </si>
  <si>
    <t>利息-1</t>
  </si>
  <si>
    <t>利息-2</t>
  </si>
  <si>
    <t>利息-3</t>
  </si>
  <si>
    <t>利息-4</t>
  </si>
  <si>
    <t>利息-5</t>
  </si>
  <si>
    <t>利息-6</t>
  </si>
  <si>
    <t>利息-7</t>
  </si>
  <si>
    <t>利息-8</t>
  </si>
  <si>
    <t>利息-9</t>
  </si>
  <si>
    <t>利息-10</t>
  </si>
  <si>
    <t>资产期数</t>
    <phoneticPr fontId="3" type="noConversion"/>
  </si>
  <si>
    <t>Total</t>
    <phoneticPr fontId="3" type="noConversion"/>
  </si>
  <si>
    <t>贷款单号</t>
  </si>
  <si>
    <t>剩余本金</t>
  </si>
  <si>
    <t>剩余期数</t>
  </si>
  <si>
    <t>起始日期</t>
  </si>
  <si>
    <t>结束日期</t>
  </si>
  <si>
    <t>付款频率</t>
  </si>
  <si>
    <t>AccountNo</t>
  </si>
  <si>
    <t>Amount</t>
  </si>
  <si>
    <t>RemainingBalance</t>
  </si>
  <si>
    <t>LoanTerm</t>
  </si>
  <si>
    <t>RemainingTerm</t>
  </si>
  <si>
    <t>StartDate</t>
  </si>
  <si>
    <t>MaturityDate</t>
  </si>
  <si>
    <t>PayDay</t>
  </si>
  <si>
    <t>CouponType</t>
  </si>
  <si>
    <t>CouponRate</t>
  </si>
  <si>
    <t>CouponFrequency</t>
  </si>
  <si>
    <t>DayCountConvention</t>
  </si>
  <si>
    <t>A1201</t>
    <phoneticPr fontId="4" type="noConversion"/>
  </si>
  <si>
    <t>等额本息</t>
    <phoneticPr fontId="4" type="noConversion"/>
  </si>
  <si>
    <t>ACT/ACT</t>
    <phoneticPr fontId="4" type="noConversion"/>
  </si>
  <si>
    <t>A1202</t>
  </si>
  <si>
    <t>ACT/ACT</t>
    <phoneticPr fontId="4" type="noConversion"/>
  </si>
  <si>
    <t>A1203</t>
  </si>
  <si>
    <t>A1204</t>
  </si>
  <si>
    <t>A1205</t>
  </si>
  <si>
    <t>A1206</t>
  </si>
  <si>
    <t>等额本息</t>
    <phoneticPr fontId="4" type="noConversion"/>
  </si>
  <si>
    <t>A1207</t>
  </si>
  <si>
    <t>A1208</t>
  </si>
  <si>
    <t>ACT/ACT</t>
    <phoneticPr fontId="4" type="noConversion"/>
  </si>
  <si>
    <t>A1209</t>
  </si>
  <si>
    <t>A1210</t>
  </si>
  <si>
    <t>A1001</t>
    <phoneticPr fontId="4" type="noConversion"/>
  </si>
  <si>
    <t>A1002</t>
  </si>
  <si>
    <t>A1003</t>
  </si>
  <si>
    <t>A1004</t>
  </si>
  <si>
    <t>A1005</t>
  </si>
  <si>
    <t>A1006</t>
  </si>
  <si>
    <t>A1007</t>
  </si>
  <si>
    <t>A1008</t>
  </si>
  <si>
    <t>A1009</t>
  </si>
  <si>
    <t>A1010</t>
  </si>
  <si>
    <t>扣除保费后循环购买金额</t>
  </si>
  <si>
    <t>·</t>
    <phoneticPr fontId="3" type="noConversion"/>
  </si>
  <si>
    <t>信托计划 -常规压测 - 有循环 - 保费7 - 资1.5托1.5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</si>
</sst>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¥&quot;#,##0.00;[Red]&quot;¥&quot;\-#,##0.00"/>
    <numFmt numFmtId="43" formatCode="_ * #,##0.00_ ;_ * \-#,##0.00_ ;_ * &quot;-&quot;??_ ;_ @_ "/>
    <numFmt numFmtId="176" formatCode="0.0%"/>
    <numFmt numFmtId="177" formatCode="&quot;¥&quot;#,##0.00_);[Red]\(&quot;¥&quot;#,##0.00\)"/>
    <numFmt numFmtId="178" formatCode="0.000%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9"/>
      <name val="微软雅黑"/>
      <family val="2"/>
      <charset val="134"/>
    </font>
    <font>
      <b/>
      <sz val="11"/>
      <color rgb="FF92D050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0" applyFont="1" applyFill="1" applyAlignment="1"/>
    <xf numFmtId="0" fontId="2" fillId="0" borderId="0" xfId="0" applyFont="1" applyFill="1" applyAlignment="1"/>
    <xf numFmtId="0" fontId="2" fillId="0" borderId="0" xfId="0" applyFont="1" applyAlignment="1"/>
    <xf numFmtId="0" fontId="5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3" borderId="4" xfId="0" applyFont="1" applyFill="1" applyBorder="1" applyAlignment="1"/>
    <xf numFmtId="0" fontId="2" fillId="3" borderId="0" xfId="0" applyFont="1" applyFill="1" applyBorder="1" applyAlignment="1"/>
    <xf numFmtId="0" fontId="2" fillId="3" borderId="5" xfId="0" applyFont="1" applyFill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9" fontId="2" fillId="0" borderId="0" xfId="0" applyNumberFormat="1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9" fontId="2" fillId="0" borderId="7" xfId="0" applyNumberFormat="1" applyFont="1" applyBorder="1" applyAlignment="1"/>
    <xf numFmtId="0" fontId="2" fillId="0" borderId="8" xfId="0" applyFont="1" applyBorder="1" applyAlignment="1"/>
    <xf numFmtId="43" fontId="2" fillId="0" borderId="5" xfId="1" applyFont="1" applyBorder="1" applyAlignment="1"/>
    <xf numFmtId="43" fontId="2" fillId="0" borderId="8" xfId="1" applyFont="1" applyBorder="1" applyAlignment="1"/>
    <xf numFmtId="0" fontId="2" fillId="0" borderId="0" xfId="1" applyNumberFormat="1" applyFont="1" applyBorder="1" applyAlignment="1"/>
    <xf numFmtId="0" fontId="2" fillId="0" borderId="7" xfId="1" applyNumberFormat="1" applyFont="1" applyBorder="1" applyAlignment="1"/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14" fontId="2" fillId="0" borderId="0" xfId="0" applyNumberFormat="1" applyFont="1" applyBorder="1" applyAlignment="1"/>
    <xf numFmtId="14" fontId="2" fillId="0" borderId="7" xfId="0" applyNumberFormat="1" applyFont="1" applyBorder="1" applyAlignment="1"/>
    <xf numFmtId="176" fontId="2" fillId="0" borderId="0" xfId="0" applyNumberFormat="1" applyFont="1" applyBorder="1" applyAlignment="1"/>
    <xf numFmtId="0" fontId="2" fillId="4" borderId="4" xfId="0" applyFont="1" applyFill="1" applyBorder="1" applyAlignment="1"/>
    <xf numFmtId="10" fontId="2" fillId="0" borderId="5" xfId="2" applyNumberFormat="1" applyFont="1" applyBorder="1" applyAlignment="1"/>
    <xf numFmtId="10" fontId="2" fillId="0" borderId="8" xfId="2" applyNumberFormat="1" applyFont="1" applyBorder="1" applyAlignment="1"/>
    <xf numFmtId="10" fontId="2" fillId="5" borderId="5" xfId="2" applyNumberFormat="1" applyFont="1" applyFill="1" applyBorder="1" applyAlignment="1"/>
    <xf numFmtId="0" fontId="2" fillId="0" borderId="0" xfId="0" applyFont="1" applyFill="1" applyBorder="1" applyAlignment="1"/>
    <xf numFmtId="9" fontId="2" fillId="0" borderId="0" xfId="0" applyNumberFormat="1" applyFont="1" applyFill="1" applyBorder="1" applyAlignment="1"/>
    <xf numFmtId="0" fontId="2" fillId="0" borderId="0" xfId="1" applyNumberFormat="1" applyFont="1" applyFill="1" applyBorder="1" applyAlignment="1"/>
    <xf numFmtId="14" fontId="2" fillId="0" borderId="0" xfId="0" applyNumberFormat="1" applyFont="1" applyFill="1" applyBorder="1" applyAlignment="1"/>
    <xf numFmtId="176" fontId="2" fillId="0" borderId="0" xfId="0" applyNumberFormat="1" applyFont="1" applyFill="1" applyBorder="1" applyAlignment="1"/>
    <xf numFmtId="0" fontId="6" fillId="0" borderId="0" xfId="0" applyFont="1" applyFill="1" applyBorder="1" applyAlignment="1"/>
    <xf numFmtId="43" fontId="2" fillId="0" borderId="0" xfId="1" applyFont="1" applyFill="1" applyBorder="1" applyAlignment="1"/>
    <xf numFmtId="10" fontId="2" fillId="0" borderId="0" xfId="2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6" borderId="0" xfId="0" applyFont="1" applyFill="1" applyBorder="1" applyAlignment="1"/>
    <xf numFmtId="0" fontId="0" fillId="6" borderId="9" xfId="0" applyFill="1" applyBorder="1">
      <alignment vertical="center"/>
    </xf>
    <xf numFmtId="0" fontId="2" fillId="6" borderId="9" xfId="0" applyFont="1" applyFill="1" applyBorder="1" applyAlignment="1"/>
    <xf numFmtId="0" fontId="2" fillId="6" borderId="9" xfId="0" applyFont="1" applyFill="1" applyBorder="1" applyAlignment="1">
      <alignment wrapText="1"/>
    </xf>
    <xf numFmtId="0" fontId="2" fillId="7" borderId="0" xfId="0" applyFont="1" applyFill="1" applyAlignment="1"/>
    <xf numFmtId="0" fontId="2" fillId="8" borderId="0" xfId="0" applyFont="1" applyFill="1" applyAlignment="1"/>
    <xf numFmtId="0" fontId="2" fillId="4" borderId="0" xfId="0" applyFont="1" applyFill="1" applyAlignment="1"/>
    <xf numFmtId="177" fontId="2" fillId="2" borderId="0" xfId="0" applyNumberFormat="1" applyFont="1" applyFill="1" applyAlignment="1"/>
    <xf numFmtId="177" fontId="2" fillId="0" borderId="0" xfId="1" applyNumberFormat="1" applyFont="1" applyAlignment="1"/>
    <xf numFmtId="177" fontId="2" fillId="0" borderId="0" xfId="0" applyNumberFormat="1" applyFont="1" applyAlignment="1"/>
    <xf numFmtId="10" fontId="2" fillId="0" borderId="0" xfId="2" applyNumberFormat="1" applyFont="1" applyAlignment="1"/>
    <xf numFmtId="177" fontId="2" fillId="7" borderId="0" xfId="0" applyNumberFormat="1" applyFont="1" applyFill="1" applyAlignment="1"/>
    <xf numFmtId="176" fontId="2" fillId="0" borderId="0" xfId="0" applyNumberFormat="1" applyFont="1" applyAlignment="1"/>
    <xf numFmtId="178" fontId="2" fillId="0" borderId="0" xfId="2" applyNumberFormat="1" applyFont="1" applyAlignment="1"/>
    <xf numFmtId="43" fontId="0" fillId="0" borderId="0" xfId="1" applyFont="1">
      <alignment vertical="center"/>
    </xf>
    <xf numFmtId="43" fontId="0" fillId="0" borderId="0" xfId="0" applyNumberFormat="1">
      <alignment vertical="center"/>
    </xf>
    <xf numFmtId="9" fontId="0" fillId="0" borderId="0" xfId="0" applyNumberFormat="1">
      <alignment vertical="center"/>
    </xf>
    <xf numFmtId="8" fontId="0" fillId="0" borderId="0" xfId="0" applyNumberFormat="1">
      <alignment vertical="center"/>
    </xf>
    <xf numFmtId="49" fontId="8" fillId="9" borderId="0" xfId="0" applyNumberFormat="1" applyFont="1" applyFill="1" applyAlignment="1"/>
    <xf numFmtId="0" fontId="9" fillId="9" borderId="0" xfId="0" applyFont="1" applyFill="1" applyAlignment="1"/>
    <xf numFmtId="49" fontId="0" fillId="0" borderId="0" xfId="0" applyNumberFormat="1" applyAlignment="1"/>
    <xf numFmtId="0" fontId="0" fillId="0" borderId="0" xfId="0" applyNumberFormat="1" applyAlignment="1"/>
    <xf numFmtId="0" fontId="0" fillId="0" borderId="0" xfId="0" applyAlignment="1"/>
    <xf numFmtId="14" fontId="0" fillId="0" borderId="0" xfId="0" applyNumberFormat="1" applyAlignment="1"/>
    <xf numFmtId="0" fontId="7" fillId="6" borderId="9" xfId="0" applyFont="1" applyFill="1" applyBorder="1" applyAlignment="1">
      <alignment horizontal="center"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  <color rgb="FFFF99FF"/>
      <color rgb="FFCC99FF"/>
      <color rgb="FFCC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FFFFFF"/>
      </a:dk1>
      <a:lt1>
        <a:sysClr val="window" lastClr="000000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C5" sqref="C5"/>
    </sheetView>
  </sheetViews>
  <sheetFormatPr defaultRowHeight="14.25" x14ac:dyDescent="0.2"/>
  <cols>
    <col min="3" max="3" width="70.375" bestFit="1" customWidth="1"/>
  </cols>
  <sheetData>
    <row r="1" spans="2:3" x14ac:dyDescent="0.2">
      <c r="B1" s="65" t="s">
        <v>47</v>
      </c>
      <c r="C1" s="42" t="s">
        <v>48</v>
      </c>
    </row>
    <row r="2" spans="2:3" x14ac:dyDescent="0.2">
      <c r="B2" s="65"/>
      <c r="C2" s="42" t="s">
        <v>49</v>
      </c>
    </row>
    <row r="3" spans="2:3" x14ac:dyDescent="0.2">
      <c r="B3" s="65"/>
      <c r="C3" s="42" t="s">
        <v>50</v>
      </c>
    </row>
    <row r="4" spans="2:3" x14ac:dyDescent="0.2">
      <c r="B4" s="65"/>
      <c r="C4" s="42" t="s">
        <v>51</v>
      </c>
    </row>
    <row r="5" spans="2:3" x14ac:dyDescent="0.2">
      <c r="B5" s="65"/>
      <c r="C5" s="42" t="s">
        <v>55</v>
      </c>
    </row>
  </sheetData>
  <mergeCells count="1">
    <mergeCell ref="B1:B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N25" sqref="N25"/>
    </sheetView>
  </sheetViews>
  <sheetFormatPr defaultRowHeight="14.25" x14ac:dyDescent="0.2"/>
  <cols>
    <col min="1" max="1" width="16.125" bestFit="1" customWidth="1"/>
    <col min="2" max="3" width="9.5" bestFit="1" customWidth="1"/>
    <col min="4" max="5" width="16.125" bestFit="1" customWidth="1"/>
    <col min="6" max="6" width="14" bestFit="1" customWidth="1"/>
    <col min="7" max="7" width="12.875" bestFit="1" customWidth="1"/>
    <col min="8" max="8" width="7.5" bestFit="1" customWidth="1"/>
    <col min="9" max="9" width="13.875" bestFit="1" customWidth="1"/>
    <col min="10" max="10" width="5.5" bestFit="1" customWidth="1"/>
    <col min="11" max="11" width="16.125" bestFit="1" customWidth="1"/>
    <col min="12" max="12" width="9.5" bestFit="1" customWidth="1"/>
  </cols>
  <sheetData>
    <row r="1" spans="1:12" x14ac:dyDescent="0.2">
      <c r="A1" s="59" t="s">
        <v>125</v>
      </c>
      <c r="B1" s="60" t="s">
        <v>88</v>
      </c>
      <c r="C1" s="60" t="s">
        <v>126</v>
      </c>
      <c r="D1" s="60" t="s">
        <v>94</v>
      </c>
      <c r="E1" s="60" t="s">
        <v>127</v>
      </c>
      <c r="F1" s="60" t="s">
        <v>128</v>
      </c>
      <c r="G1" s="60" t="s">
        <v>129</v>
      </c>
      <c r="H1" s="60" t="s">
        <v>89</v>
      </c>
      <c r="I1" s="60" t="s">
        <v>90</v>
      </c>
      <c r="J1" s="60" t="s">
        <v>91</v>
      </c>
      <c r="K1" s="60" t="s">
        <v>130</v>
      </c>
      <c r="L1" s="60" t="s">
        <v>92</v>
      </c>
    </row>
    <row r="2" spans="1:12" x14ac:dyDescent="0.2">
      <c r="A2" s="59" t="s">
        <v>131</v>
      </c>
      <c r="B2" s="60" t="s">
        <v>132</v>
      </c>
      <c r="C2" s="60" t="s">
        <v>133</v>
      </c>
      <c r="D2" s="60" t="s">
        <v>134</v>
      </c>
      <c r="E2" s="60" t="s">
        <v>135</v>
      </c>
      <c r="F2" s="60" t="s">
        <v>136</v>
      </c>
      <c r="G2" s="60" t="s">
        <v>137</v>
      </c>
      <c r="H2" s="60" t="s">
        <v>138</v>
      </c>
      <c r="I2" s="60" t="s">
        <v>139</v>
      </c>
      <c r="J2" s="60" t="s">
        <v>140</v>
      </c>
      <c r="K2" s="60" t="s">
        <v>141</v>
      </c>
      <c r="L2" s="60" t="s">
        <v>142</v>
      </c>
    </row>
    <row r="3" spans="1:12" x14ac:dyDescent="0.2">
      <c r="A3" s="61" t="s">
        <v>143</v>
      </c>
      <c r="B3" s="62">
        <v>5000000</v>
      </c>
      <c r="C3" s="62">
        <v>5000000</v>
      </c>
      <c r="D3" s="63">
        <v>12</v>
      </c>
      <c r="E3" s="63">
        <v>12</v>
      </c>
      <c r="F3" s="64">
        <v>43378</v>
      </c>
      <c r="G3" s="64">
        <v>43743</v>
      </c>
      <c r="H3" s="63">
        <v>5</v>
      </c>
      <c r="I3" s="63" t="s">
        <v>144</v>
      </c>
      <c r="J3" s="63">
        <v>35</v>
      </c>
      <c r="K3" s="63">
        <v>1</v>
      </c>
      <c r="L3" s="63" t="s">
        <v>145</v>
      </c>
    </row>
    <row r="4" spans="1:12" x14ac:dyDescent="0.2">
      <c r="A4" s="61" t="s">
        <v>146</v>
      </c>
      <c r="B4" s="62">
        <v>5000000</v>
      </c>
      <c r="C4" s="62">
        <v>5000000</v>
      </c>
      <c r="D4" s="63">
        <v>12</v>
      </c>
      <c r="E4" s="63">
        <v>12</v>
      </c>
      <c r="F4" s="64">
        <v>43379</v>
      </c>
      <c r="G4" s="64">
        <v>43744</v>
      </c>
      <c r="H4" s="63">
        <v>6</v>
      </c>
      <c r="I4" s="63" t="s">
        <v>7</v>
      </c>
      <c r="J4" s="63">
        <v>35</v>
      </c>
      <c r="K4" s="63">
        <v>1</v>
      </c>
      <c r="L4" s="63" t="s">
        <v>147</v>
      </c>
    </row>
    <row r="5" spans="1:12" x14ac:dyDescent="0.2">
      <c r="A5" s="61" t="s">
        <v>148</v>
      </c>
      <c r="B5" s="62">
        <v>5000000</v>
      </c>
      <c r="C5" s="62">
        <v>5000000</v>
      </c>
      <c r="D5" s="63">
        <v>12</v>
      </c>
      <c r="E5" s="63">
        <v>12</v>
      </c>
      <c r="F5" s="64">
        <v>43380</v>
      </c>
      <c r="G5" s="64">
        <v>43745</v>
      </c>
      <c r="H5" s="63">
        <v>7</v>
      </c>
      <c r="I5" s="63" t="s">
        <v>7</v>
      </c>
      <c r="J5" s="63">
        <v>35</v>
      </c>
      <c r="K5" s="63">
        <v>1</v>
      </c>
      <c r="L5" s="63" t="s">
        <v>147</v>
      </c>
    </row>
    <row r="6" spans="1:12" x14ac:dyDescent="0.2">
      <c r="A6" s="61" t="s">
        <v>149</v>
      </c>
      <c r="B6" s="62">
        <v>5000000</v>
      </c>
      <c r="C6" s="62">
        <v>5000000</v>
      </c>
      <c r="D6" s="63">
        <v>12</v>
      </c>
      <c r="E6" s="63">
        <v>12</v>
      </c>
      <c r="F6" s="64">
        <v>43381</v>
      </c>
      <c r="G6" s="64">
        <v>43746</v>
      </c>
      <c r="H6" s="63">
        <v>8</v>
      </c>
      <c r="I6" s="63" t="s">
        <v>144</v>
      </c>
      <c r="J6" s="63">
        <v>35</v>
      </c>
      <c r="K6" s="63">
        <v>1</v>
      </c>
      <c r="L6" s="63" t="s">
        <v>147</v>
      </c>
    </row>
    <row r="7" spans="1:12" x14ac:dyDescent="0.2">
      <c r="A7" s="61" t="s">
        <v>150</v>
      </c>
      <c r="B7" s="62">
        <v>5000000</v>
      </c>
      <c r="C7" s="62">
        <v>5000000</v>
      </c>
      <c r="D7" s="63">
        <v>12</v>
      </c>
      <c r="E7" s="63">
        <v>12</v>
      </c>
      <c r="F7" s="64">
        <v>43382</v>
      </c>
      <c r="G7" s="64">
        <v>43747</v>
      </c>
      <c r="H7" s="63">
        <v>9</v>
      </c>
      <c r="I7" s="63" t="s">
        <v>7</v>
      </c>
      <c r="J7" s="63">
        <v>35</v>
      </c>
      <c r="K7" s="63">
        <v>1</v>
      </c>
      <c r="L7" s="63" t="s">
        <v>145</v>
      </c>
    </row>
    <row r="8" spans="1:12" x14ac:dyDescent="0.2">
      <c r="A8" s="61" t="s">
        <v>151</v>
      </c>
      <c r="B8" s="62">
        <v>5000000</v>
      </c>
      <c r="C8" s="62">
        <v>5000000</v>
      </c>
      <c r="D8" s="63">
        <v>12</v>
      </c>
      <c r="E8" s="63">
        <v>12</v>
      </c>
      <c r="F8" s="64">
        <v>43383</v>
      </c>
      <c r="G8" s="64">
        <v>43748</v>
      </c>
      <c r="H8" s="63">
        <v>10</v>
      </c>
      <c r="I8" s="63" t="s">
        <v>152</v>
      </c>
      <c r="J8" s="63">
        <v>35</v>
      </c>
      <c r="K8" s="63">
        <v>1</v>
      </c>
      <c r="L8" s="63" t="s">
        <v>147</v>
      </c>
    </row>
    <row r="9" spans="1:12" x14ac:dyDescent="0.2">
      <c r="A9" s="61" t="s">
        <v>153</v>
      </c>
      <c r="B9" s="62">
        <v>5000000</v>
      </c>
      <c r="C9" s="62">
        <v>5000000</v>
      </c>
      <c r="D9" s="63">
        <v>12</v>
      </c>
      <c r="E9" s="63">
        <v>12</v>
      </c>
      <c r="F9" s="64">
        <v>43384</v>
      </c>
      <c r="G9" s="64">
        <v>43749</v>
      </c>
      <c r="H9" s="63">
        <v>11</v>
      </c>
      <c r="I9" s="63" t="s">
        <v>144</v>
      </c>
      <c r="J9" s="63">
        <v>35</v>
      </c>
      <c r="K9" s="63">
        <v>1</v>
      </c>
      <c r="L9" s="63" t="s">
        <v>147</v>
      </c>
    </row>
    <row r="10" spans="1:12" x14ac:dyDescent="0.2">
      <c r="A10" s="61" t="s">
        <v>154</v>
      </c>
      <c r="B10" s="62">
        <v>5000000</v>
      </c>
      <c r="C10" s="62">
        <v>5000000</v>
      </c>
      <c r="D10" s="63">
        <v>12</v>
      </c>
      <c r="E10" s="63">
        <v>12</v>
      </c>
      <c r="F10" s="64">
        <v>43385</v>
      </c>
      <c r="G10" s="64">
        <v>43750</v>
      </c>
      <c r="H10" s="63">
        <v>12</v>
      </c>
      <c r="I10" s="63" t="s">
        <v>7</v>
      </c>
      <c r="J10" s="63">
        <v>35</v>
      </c>
      <c r="K10" s="63">
        <v>1</v>
      </c>
      <c r="L10" s="63" t="s">
        <v>155</v>
      </c>
    </row>
    <row r="11" spans="1:12" x14ac:dyDescent="0.2">
      <c r="A11" s="61" t="s">
        <v>156</v>
      </c>
      <c r="B11" s="62">
        <v>5000000</v>
      </c>
      <c r="C11" s="62">
        <v>5000000</v>
      </c>
      <c r="D11" s="63">
        <v>12</v>
      </c>
      <c r="E11" s="63">
        <v>12</v>
      </c>
      <c r="F11" s="64">
        <v>43386</v>
      </c>
      <c r="G11" s="64">
        <v>43751</v>
      </c>
      <c r="H11" s="63">
        <v>13</v>
      </c>
      <c r="I11" s="63" t="s">
        <v>7</v>
      </c>
      <c r="J11" s="63">
        <v>35</v>
      </c>
      <c r="K11" s="63">
        <v>1</v>
      </c>
      <c r="L11" s="63" t="s">
        <v>147</v>
      </c>
    </row>
    <row r="12" spans="1:12" x14ac:dyDescent="0.2">
      <c r="A12" s="61" t="s">
        <v>157</v>
      </c>
      <c r="B12" s="62">
        <v>5000000</v>
      </c>
      <c r="C12" s="62">
        <v>5000000</v>
      </c>
      <c r="D12" s="63">
        <v>12</v>
      </c>
      <c r="E12" s="63">
        <v>12</v>
      </c>
      <c r="F12" s="64">
        <v>43387</v>
      </c>
      <c r="G12" s="64">
        <v>43752</v>
      </c>
      <c r="H12" s="63">
        <v>14</v>
      </c>
      <c r="I12" s="63" t="s">
        <v>7</v>
      </c>
      <c r="J12" s="63">
        <v>35</v>
      </c>
      <c r="K12" s="63">
        <v>1</v>
      </c>
      <c r="L12" s="63" t="s">
        <v>147</v>
      </c>
    </row>
    <row r="13" spans="1:12" x14ac:dyDescent="0.2">
      <c r="A13" s="61" t="s">
        <v>158</v>
      </c>
      <c r="B13" s="62">
        <v>5000000</v>
      </c>
      <c r="C13" s="62">
        <v>5000000</v>
      </c>
      <c r="D13" s="63">
        <v>10</v>
      </c>
      <c r="E13" s="63">
        <v>10</v>
      </c>
      <c r="F13" s="64">
        <v>43378</v>
      </c>
      <c r="G13" s="64">
        <v>43682</v>
      </c>
      <c r="H13" s="63">
        <v>5</v>
      </c>
      <c r="I13" s="63" t="s">
        <v>7</v>
      </c>
      <c r="J13" s="63">
        <v>35</v>
      </c>
      <c r="K13" s="63">
        <v>1</v>
      </c>
      <c r="L13" s="63" t="s">
        <v>155</v>
      </c>
    </row>
    <row r="14" spans="1:12" x14ac:dyDescent="0.2">
      <c r="A14" s="61" t="s">
        <v>159</v>
      </c>
      <c r="B14" s="62">
        <v>5000000</v>
      </c>
      <c r="C14" s="62">
        <v>5000000</v>
      </c>
      <c r="D14" s="63">
        <v>10</v>
      </c>
      <c r="E14" s="63">
        <v>10</v>
      </c>
      <c r="F14" s="64">
        <v>43379</v>
      </c>
      <c r="G14" s="64">
        <v>43683</v>
      </c>
      <c r="H14" s="63">
        <v>6</v>
      </c>
      <c r="I14" s="63" t="s">
        <v>7</v>
      </c>
      <c r="J14" s="63">
        <v>35</v>
      </c>
      <c r="K14" s="63">
        <v>1</v>
      </c>
      <c r="L14" s="63" t="s">
        <v>147</v>
      </c>
    </row>
    <row r="15" spans="1:12" x14ac:dyDescent="0.2">
      <c r="A15" s="61" t="s">
        <v>160</v>
      </c>
      <c r="B15" s="62">
        <v>5000000</v>
      </c>
      <c r="C15" s="62">
        <v>5000000</v>
      </c>
      <c r="D15" s="63">
        <v>10</v>
      </c>
      <c r="E15" s="63">
        <v>10</v>
      </c>
      <c r="F15" s="64">
        <v>43380</v>
      </c>
      <c r="G15" s="64">
        <v>43684</v>
      </c>
      <c r="H15" s="63">
        <v>7</v>
      </c>
      <c r="I15" s="63" t="s">
        <v>7</v>
      </c>
      <c r="J15" s="63">
        <v>35</v>
      </c>
      <c r="K15" s="63">
        <v>1</v>
      </c>
      <c r="L15" s="63" t="s">
        <v>145</v>
      </c>
    </row>
    <row r="16" spans="1:12" x14ac:dyDescent="0.2">
      <c r="A16" s="61" t="s">
        <v>161</v>
      </c>
      <c r="B16" s="62">
        <v>5000000</v>
      </c>
      <c r="C16" s="62">
        <v>5000000</v>
      </c>
      <c r="D16" s="63">
        <v>10</v>
      </c>
      <c r="E16" s="63">
        <v>10</v>
      </c>
      <c r="F16" s="64">
        <v>43381</v>
      </c>
      <c r="G16" s="64">
        <v>43685</v>
      </c>
      <c r="H16" s="63">
        <v>8</v>
      </c>
      <c r="I16" s="63" t="s">
        <v>144</v>
      </c>
      <c r="J16" s="63">
        <v>35</v>
      </c>
      <c r="K16" s="63">
        <v>1</v>
      </c>
      <c r="L16" s="63" t="s">
        <v>147</v>
      </c>
    </row>
    <row r="17" spans="1:12" x14ac:dyDescent="0.2">
      <c r="A17" s="61" t="s">
        <v>162</v>
      </c>
      <c r="B17" s="62">
        <v>5000000</v>
      </c>
      <c r="C17" s="62">
        <v>5000000</v>
      </c>
      <c r="D17" s="63">
        <v>10</v>
      </c>
      <c r="E17" s="63">
        <v>10</v>
      </c>
      <c r="F17" s="64">
        <v>43382</v>
      </c>
      <c r="G17" s="64">
        <v>43686</v>
      </c>
      <c r="H17" s="63">
        <v>9</v>
      </c>
      <c r="I17" s="63" t="s">
        <v>7</v>
      </c>
      <c r="J17" s="63">
        <v>35</v>
      </c>
      <c r="K17" s="63">
        <v>1</v>
      </c>
      <c r="L17" s="63" t="s">
        <v>145</v>
      </c>
    </row>
    <row r="18" spans="1:12" x14ac:dyDescent="0.2">
      <c r="A18" s="61" t="s">
        <v>163</v>
      </c>
      <c r="B18" s="62">
        <v>5000000</v>
      </c>
      <c r="C18" s="62">
        <v>5000000</v>
      </c>
      <c r="D18" s="63">
        <v>10</v>
      </c>
      <c r="E18" s="63">
        <v>10</v>
      </c>
      <c r="F18" s="64">
        <v>43383</v>
      </c>
      <c r="G18" s="64">
        <v>43687</v>
      </c>
      <c r="H18" s="63">
        <v>10</v>
      </c>
      <c r="I18" s="63" t="s">
        <v>144</v>
      </c>
      <c r="J18" s="63">
        <v>35</v>
      </c>
      <c r="K18" s="63">
        <v>1</v>
      </c>
      <c r="L18" s="63" t="s">
        <v>155</v>
      </c>
    </row>
    <row r="19" spans="1:12" x14ac:dyDescent="0.2">
      <c r="A19" s="61" t="s">
        <v>164</v>
      </c>
      <c r="B19" s="62">
        <v>5000000</v>
      </c>
      <c r="C19" s="62">
        <v>5000000</v>
      </c>
      <c r="D19" s="63">
        <v>10</v>
      </c>
      <c r="E19" s="63">
        <v>10</v>
      </c>
      <c r="F19" s="64">
        <v>43384</v>
      </c>
      <c r="G19" s="64">
        <v>43688</v>
      </c>
      <c r="H19" s="63">
        <v>11</v>
      </c>
      <c r="I19" s="63" t="s">
        <v>7</v>
      </c>
      <c r="J19" s="63">
        <v>35</v>
      </c>
      <c r="K19" s="63">
        <v>1</v>
      </c>
      <c r="L19" s="63" t="s">
        <v>147</v>
      </c>
    </row>
    <row r="20" spans="1:12" x14ac:dyDescent="0.2">
      <c r="A20" s="61" t="s">
        <v>165</v>
      </c>
      <c r="B20" s="62">
        <v>5000000</v>
      </c>
      <c r="C20" s="62">
        <v>5000000</v>
      </c>
      <c r="D20" s="63">
        <v>10</v>
      </c>
      <c r="E20" s="63">
        <v>10</v>
      </c>
      <c r="F20" s="64">
        <v>43385</v>
      </c>
      <c r="G20" s="64">
        <v>43689</v>
      </c>
      <c r="H20" s="63">
        <v>12</v>
      </c>
      <c r="I20" s="63" t="s">
        <v>144</v>
      </c>
      <c r="J20" s="63">
        <v>35</v>
      </c>
      <c r="K20" s="63">
        <v>1</v>
      </c>
      <c r="L20" s="63" t="s">
        <v>147</v>
      </c>
    </row>
    <row r="21" spans="1:12" x14ac:dyDescent="0.2">
      <c r="A21" s="61" t="s">
        <v>166</v>
      </c>
      <c r="B21" s="62">
        <v>5000000</v>
      </c>
      <c r="C21" s="62">
        <v>5000000</v>
      </c>
      <c r="D21" s="63">
        <v>10</v>
      </c>
      <c r="E21" s="63">
        <v>10</v>
      </c>
      <c r="F21" s="64">
        <v>43386</v>
      </c>
      <c r="G21" s="64">
        <v>43690</v>
      </c>
      <c r="H21" s="63">
        <v>13</v>
      </c>
      <c r="I21" s="63" t="s">
        <v>7</v>
      </c>
      <c r="J21" s="63">
        <v>35</v>
      </c>
      <c r="K21" s="63">
        <v>1</v>
      </c>
      <c r="L21" s="63" t="s">
        <v>147</v>
      </c>
    </row>
    <row r="22" spans="1:12" x14ac:dyDescent="0.2">
      <c r="A22" s="61" t="s">
        <v>167</v>
      </c>
      <c r="B22" s="62">
        <v>5000000</v>
      </c>
      <c r="C22" s="62">
        <v>5000000</v>
      </c>
      <c r="D22" s="63">
        <v>10</v>
      </c>
      <c r="E22" s="63">
        <v>10</v>
      </c>
      <c r="F22" s="64">
        <v>43387</v>
      </c>
      <c r="G22" s="64">
        <v>43691</v>
      </c>
      <c r="H22" s="63">
        <v>14</v>
      </c>
      <c r="I22" s="63" t="s">
        <v>7</v>
      </c>
      <c r="J22" s="63">
        <v>35</v>
      </c>
      <c r="K22" s="63">
        <v>1</v>
      </c>
      <c r="L22" s="63" t="s">
        <v>147</v>
      </c>
    </row>
    <row r="23" spans="1:12" x14ac:dyDescent="0.2">
      <c r="D23" s="55"/>
      <c r="F23" s="55"/>
      <c r="G23" s="56"/>
    </row>
    <row r="24" spans="1:12" x14ac:dyDescent="0.2">
      <c r="D24" s="55"/>
      <c r="F24" s="55"/>
      <c r="G24" s="56"/>
    </row>
    <row r="25" spans="1:12" x14ac:dyDescent="0.2">
      <c r="D25" s="55"/>
      <c r="F25" s="55"/>
      <c r="G25" s="56"/>
    </row>
    <row r="26" spans="1:12" x14ac:dyDescent="0.2">
      <c r="D26" s="55"/>
      <c r="F26" s="55"/>
      <c r="G26" s="56"/>
    </row>
    <row r="27" spans="1:12" x14ac:dyDescent="0.2">
      <c r="D27" s="55"/>
      <c r="F27" s="55"/>
      <c r="G27" s="56"/>
    </row>
    <row r="28" spans="1:12" x14ac:dyDescent="0.2">
      <c r="D28" s="55"/>
      <c r="F28" s="55"/>
      <c r="G28" s="56"/>
    </row>
    <row r="29" spans="1:12" x14ac:dyDescent="0.2">
      <c r="D29" s="55"/>
      <c r="F29" s="55"/>
      <c r="G29" s="5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1"/>
  <sheetViews>
    <sheetView zoomScale="115" zoomScaleNormal="115" workbookViewId="0">
      <selection activeCell="D32" sqref="D32"/>
    </sheetView>
  </sheetViews>
  <sheetFormatPr defaultColWidth="8.875" defaultRowHeight="16.5" x14ac:dyDescent="0.3"/>
  <cols>
    <col min="1" max="1" width="6.875" style="3" customWidth="1"/>
    <col min="2" max="2" width="21" style="3" customWidth="1"/>
    <col min="3" max="3" width="32.5" style="3" bestFit="1" customWidth="1"/>
    <col min="4" max="4" width="34.5" style="3" customWidth="1"/>
    <col min="5" max="5" width="11" style="3" customWidth="1"/>
    <col min="6" max="6" width="13.25" style="3" customWidth="1"/>
    <col min="7" max="7" width="8.875" style="3"/>
    <col min="8" max="8" width="15.5" style="3" bestFit="1" customWidth="1"/>
    <col min="9" max="9" width="38.5" style="3" bestFit="1" customWidth="1"/>
    <col min="10" max="10" width="21.875" style="32" customWidth="1"/>
    <col min="11" max="11" width="21.5" style="32" bestFit="1" customWidth="1"/>
    <col min="12" max="12" width="19.625" style="32" customWidth="1"/>
    <col min="13" max="13" width="11.5" style="32" customWidth="1"/>
    <col min="14" max="14" width="11.25" style="32" customWidth="1"/>
    <col min="15" max="15" width="9" style="32" bestFit="1" customWidth="1"/>
    <col min="16" max="16384" width="8.875" style="3"/>
  </cols>
  <sheetData>
    <row r="1" spans="2:12" x14ac:dyDescent="0.3">
      <c r="B1" s="1" t="s">
        <v>87</v>
      </c>
      <c r="C1" s="2" t="s">
        <v>170</v>
      </c>
    </row>
    <row r="2" spans="2:12" ht="17.25" thickBot="1" x14ac:dyDescent="0.35"/>
    <row r="3" spans="2:12" x14ac:dyDescent="0.3">
      <c r="B3" s="4" t="s">
        <v>0</v>
      </c>
      <c r="C3" s="5"/>
      <c r="D3" s="5"/>
      <c r="E3" s="6"/>
      <c r="J3" s="37"/>
    </row>
    <row r="4" spans="2:12" x14ac:dyDescent="0.3">
      <c r="B4" s="7" t="s">
        <v>1</v>
      </c>
      <c r="C4" s="8" t="s">
        <v>2</v>
      </c>
      <c r="D4" s="8" t="s">
        <v>3</v>
      </c>
      <c r="E4" s="9" t="s">
        <v>4</v>
      </c>
    </row>
    <row r="5" spans="2:12" x14ac:dyDescent="0.3">
      <c r="B5" s="10" t="s">
        <v>5</v>
      </c>
      <c r="C5" s="11" t="s">
        <v>6</v>
      </c>
      <c r="D5" s="12">
        <v>0.35</v>
      </c>
      <c r="E5" s="13" t="s">
        <v>7</v>
      </c>
      <c r="L5" s="33"/>
    </row>
    <row r="6" spans="2:12" ht="17.25" thickBot="1" x14ac:dyDescent="0.35">
      <c r="B6" s="14" t="s">
        <v>8</v>
      </c>
      <c r="C6" s="15" t="s">
        <v>9</v>
      </c>
      <c r="D6" s="16">
        <v>0.35</v>
      </c>
      <c r="E6" s="17" t="s">
        <v>7</v>
      </c>
      <c r="L6" s="33"/>
    </row>
    <row r="7" spans="2:12" ht="17.25" thickBot="1" x14ac:dyDescent="0.35"/>
    <row r="8" spans="2:12" x14ac:dyDescent="0.3">
      <c r="B8" s="4" t="s">
        <v>10</v>
      </c>
      <c r="C8" s="6"/>
      <c r="J8" s="37"/>
    </row>
    <row r="9" spans="2:12" x14ac:dyDescent="0.3">
      <c r="B9" s="10" t="s">
        <v>11</v>
      </c>
      <c r="C9" s="18">
        <v>100000000</v>
      </c>
      <c r="K9" s="38"/>
    </row>
    <row r="10" spans="2:12" x14ac:dyDescent="0.3">
      <c r="B10" s="10" t="s">
        <v>8</v>
      </c>
      <c r="C10" s="18">
        <v>50000000</v>
      </c>
      <c r="K10" s="38"/>
    </row>
    <row r="11" spans="2:12" ht="17.25" thickBot="1" x14ac:dyDescent="0.35">
      <c r="B11" s="14" t="s">
        <v>5</v>
      </c>
      <c r="C11" s="19">
        <v>50000000</v>
      </c>
      <c r="K11" s="38"/>
    </row>
    <row r="12" spans="2:12" ht="17.25" thickBot="1" x14ac:dyDescent="0.35"/>
    <row r="13" spans="2:12" x14ac:dyDescent="0.3">
      <c r="B13" s="4" t="s">
        <v>12</v>
      </c>
      <c r="C13" s="5"/>
      <c r="D13" s="5"/>
      <c r="E13" s="6"/>
      <c r="J13" s="37"/>
    </row>
    <row r="14" spans="2:12" x14ac:dyDescent="0.3">
      <c r="B14" s="10" t="s">
        <v>13</v>
      </c>
      <c r="C14" s="11"/>
      <c r="D14" s="20">
        <v>20</v>
      </c>
      <c r="E14" s="13" t="s">
        <v>14</v>
      </c>
      <c r="L14" s="34"/>
    </row>
    <row r="15" spans="2:12" ht="17.25" thickBot="1" x14ac:dyDescent="0.35">
      <c r="B15" s="14" t="s">
        <v>15</v>
      </c>
      <c r="C15" s="15"/>
      <c r="D15" s="21">
        <v>15</v>
      </c>
      <c r="E15" s="17" t="s">
        <v>14</v>
      </c>
      <c r="L15" s="34"/>
    </row>
    <row r="16" spans="2:12" ht="17.25" thickBot="1" x14ac:dyDescent="0.35"/>
    <row r="17" spans="2:15" x14ac:dyDescent="0.3">
      <c r="B17" s="4" t="s">
        <v>16</v>
      </c>
      <c r="C17" s="6"/>
      <c r="J17" s="37"/>
    </row>
    <row r="18" spans="2:15" x14ac:dyDescent="0.3">
      <c r="B18" s="7" t="s">
        <v>17</v>
      </c>
      <c r="C18" s="9" t="s">
        <v>18</v>
      </c>
      <c r="D18" s="2"/>
    </row>
    <row r="19" spans="2:15" ht="17.25" thickBot="1" x14ac:dyDescent="0.35">
      <c r="B19" s="14">
        <v>10</v>
      </c>
      <c r="C19" s="17">
        <v>3</v>
      </c>
    </row>
    <row r="20" spans="2:15" ht="17.25" thickBot="1" x14ac:dyDescent="0.35"/>
    <row r="21" spans="2:15" x14ac:dyDescent="0.3">
      <c r="B21" s="22" t="s">
        <v>19</v>
      </c>
      <c r="C21" s="23" t="s">
        <v>20</v>
      </c>
      <c r="D21" s="23" t="s">
        <v>21</v>
      </c>
      <c r="E21" s="24" t="s">
        <v>22</v>
      </c>
    </row>
    <row r="22" spans="2:15" x14ac:dyDescent="0.3">
      <c r="B22" s="10" t="s">
        <v>23</v>
      </c>
      <c r="C22" s="25">
        <v>43388</v>
      </c>
      <c r="D22" s="25">
        <v>43784</v>
      </c>
      <c r="E22" s="13">
        <f>DATEDIF(C22,D22,"m")</f>
        <v>13</v>
      </c>
      <c r="K22" s="35"/>
      <c r="L22" s="35"/>
    </row>
    <row r="23" spans="2:15" x14ac:dyDescent="0.3">
      <c r="B23" s="10" t="s">
        <v>17</v>
      </c>
      <c r="C23" s="25">
        <v>43388</v>
      </c>
      <c r="D23" s="25">
        <v>43692</v>
      </c>
      <c r="E23" s="13">
        <f>DATEDIF(C23,D23,"m")</f>
        <v>10</v>
      </c>
      <c r="K23" s="35"/>
      <c r="L23" s="35"/>
    </row>
    <row r="24" spans="2:15" ht="17.25" thickBot="1" x14ac:dyDescent="0.35">
      <c r="B24" s="14" t="s">
        <v>18</v>
      </c>
      <c r="C24" s="26">
        <v>43692</v>
      </c>
      <c r="D24" s="26">
        <v>43784</v>
      </c>
      <c r="E24" s="13">
        <f>DATEDIF(C24,D24,"m")</f>
        <v>3</v>
      </c>
      <c r="K24" s="35"/>
      <c r="L24" s="35"/>
    </row>
    <row r="25" spans="2:15" ht="17.25" thickBot="1" x14ac:dyDescent="0.35"/>
    <row r="26" spans="2:15" x14ac:dyDescent="0.3">
      <c r="B26" s="4" t="s">
        <v>24</v>
      </c>
      <c r="C26" s="5"/>
      <c r="D26" s="6"/>
      <c r="J26" s="37"/>
    </row>
    <row r="27" spans="2:15" x14ac:dyDescent="0.3">
      <c r="B27" s="10" t="s">
        <v>25</v>
      </c>
      <c r="C27" s="27">
        <v>3.5000000000000003E-2</v>
      </c>
      <c r="D27" s="13" t="s">
        <v>26</v>
      </c>
      <c r="K27" s="36"/>
    </row>
    <row r="28" spans="2:15" ht="17.25" thickBot="1" x14ac:dyDescent="0.35">
      <c r="B28" s="14" t="s">
        <v>27</v>
      </c>
      <c r="C28" s="16">
        <v>0.04</v>
      </c>
      <c r="D28" s="17"/>
      <c r="K28" s="33"/>
    </row>
    <row r="29" spans="2:15" ht="17.25" thickBot="1" x14ac:dyDescent="0.35"/>
    <row r="30" spans="2:15" x14ac:dyDescent="0.3">
      <c r="B30" s="4" t="s">
        <v>28</v>
      </c>
      <c r="C30" s="5"/>
      <c r="D30" s="5"/>
      <c r="E30" s="5"/>
      <c r="F30" s="5"/>
      <c r="G30" s="6"/>
      <c r="J30" s="37"/>
    </row>
    <row r="31" spans="2:15" x14ac:dyDescent="0.3">
      <c r="B31" s="7" t="s">
        <v>29</v>
      </c>
      <c r="C31" s="8" t="s">
        <v>30</v>
      </c>
      <c r="D31" s="8" t="s">
        <v>31</v>
      </c>
      <c r="E31" s="8"/>
      <c r="F31" s="8"/>
      <c r="G31" s="9" t="s">
        <v>32</v>
      </c>
    </row>
    <row r="32" spans="2:15" x14ac:dyDescent="0.3">
      <c r="B32" s="28" t="s">
        <v>33</v>
      </c>
      <c r="C32" s="11" t="s">
        <v>34</v>
      </c>
      <c r="D32" s="11" t="s">
        <v>45</v>
      </c>
      <c r="E32" s="11"/>
      <c r="F32" s="11"/>
      <c r="G32" s="31">
        <v>1.4999999999999999E-2</v>
      </c>
      <c r="H32" s="53"/>
      <c r="O32" s="39"/>
    </row>
    <row r="33" spans="2:15" x14ac:dyDescent="0.3">
      <c r="B33" s="28" t="s">
        <v>35</v>
      </c>
      <c r="C33" s="11" t="s">
        <v>34</v>
      </c>
      <c r="D33" s="11" t="s">
        <v>44</v>
      </c>
      <c r="E33" s="11"/>
      <c r="F33" s="11"/>
      <c r="G33" s="29">
        <v>1.4999999999999999E-2</v>
      </c>
      <c r="O33" s="39"/>
    </row>
    <row r="34" spans="2:15" x14ac:dyDescent="0.3">
      <c r="B34" s="28" t="s">
        <v>36</v>
      </c>
      <c r="C34" s="11" t="s">
        <v>37</v>
      </c>
      <c r="D34" s="11" t="s">
        <v>38</v>
      </c>
      <c r="E34" s="11"/>
      <c r="F34" s="11"/>
      <c r="G34" s="29">
        <v>3.2599999999999997E-2</v>
      </c>
      <c r="O34" s="39"/>
    </row>
    <row r="35" spans="2:15" x14ac:dyDescent="0.3">
      <c r="B35" s="28" t="s">
        <v>39</v>
      </c>
      <c r="C35" s="11" t="s">
        <v>37</v>
      </c>
      <c r="D35" s="11" t="s">
        <v>40</v>
      </c>
      <c r="E35" s="11"/>
      <c r="F35" s="11"/>
      <c r="G35" s="29">
        <v>7.0000000000000007E-2</v>
      </c>
      <c r="O35" s="39"/>
    </row>
    <row r="36" spans="2:15" x14ac:dyDescent="0.3">
      <c r="B36" s="10" t="s">
        <v>41</v>
      </c>
      <c r="C36" s="41" t="s">
        <v>46</v>
      </c>
      <c r="D36" s="11"/>
      <c r="E36" s="11"/>
      <c r="F36" s="11"/>
      <c r="G36" s="29">
        <v>0.08</v>
      </c>
      <c r="O36" s="39"/>
    </row>
    <row r="37" spans="2:15" x14ac:dyDescent="0.3">
      <c r="B37" s="10" t="s">
        <v>42</v>
      </c>
      <c r="C37" s="11"/>
      <c r="D37" s="11"/>
      <c r="E37" s="11"/>
      <c r="F37" s="11"/>
      <c r="G37" s="29">
        <v>0.25</v>
      </c>
      <c r="O37" s="39"/>
    </row>
    <row r="38" spans="2:15" ht="17.25" thickBot="1" x14ac:dyDescent="0.35">
      <c r="B38" s="14" t="s">
        <v>43</v>
      </c>
      <c r="C38" s="15"/>
      <c r="D38" s="15"/>
      <c r="E38" s="15"/>
      <c r="F38" s="15"/>
      <c r="G38" s="30">
        <v>0</v>
      </c>
      <c r="O38" s="39"/>
    </row>
    <row r="40" spans="2:15" x14ac:dyDescent="0.3">
      <c r="B40" s="43" t="s">
        <v>52</v>
      </c>
      <c r="C40" s="43" t="s">
        <v>53</v>
      </c>
      <c r="D40" s="44" t="s">
        <v>54</v>
      </c>
      <c r="E40" s="40"/>
      <c r="F40" s="40"/>
      <c r="G40" s="40"/>
    </row>
    <row r="41" spans="2:15" x14ac:dyDescent="0.3">
      <c r="D41" s="40"/>
      <c r="E41" s="40"/>
      <c r="F41" s="40"/>
      <c r="G41" s="40"/>
    </row>
  </sheetData>
  <phoneticPr fontId="3" type="noConversion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abSelected="1" zoomScaleNormal="100" workbookViewId="0">
      <pane xSplit="5" ySplit="1" topLeftCell="O17" activePane="bottomRight" state="frozen"/>
      <selection pane="topRight" activeCell="F1" sqref="F1"/>
      <selection pane="bottomLeft" activeCell="A2" sqref="A2"/>
      <selection pane="bottomRight" activeCell="C25" sqref="C25"/>
    </sheetView>
  </sheetViews>
  <sheetFormatPr defaultRowHeight="14.25" x14ac:dyDescent="0.2"/>
  <cols>
    <col min="1" max="1" width="14" bestFit="1" customWidth="1"/>
    <col min="2" max="2" width="35.25" bestFit="1" customWidth="1"/>
    <col min="3" max="3" width="19.125" bestFit="1" customWidth="1"/>
    <col min="4" max="4" width="28.875" bestFit="1" customWidth="1"/>
    <col min="5" max="5" width="29.375" bestFit="1" customWidth="1"/>
    <col min="6" max="6" width="33" bestFit="1" customWidth="1"/>
    <col min="7" max="7" width="28.875" bestFit="1" customWidth="1"/>
    <col min="8" max="9" width="35.25" bestFit="1" customWidth="1"/>
    <col min="10" max="10" width="17.25" bestFit="1" customWidth="1"/>
    <col min="11" max="11" width="16.5" bestFit="1" customWidth="1"/>
    <col min="12" max="12" width="19.5" bestFit="1" customWidth="1"/>
    <col min="13" max="13" width="16.5" bestFit="1" customWidth="1"/>
    <col min="14" max="15" width="21.875" bestFit="1" customWidth="1"/>
    <col min="16" max="16" width="19.125" bestFit="1" customWidth="1"/>
    <col min="17" max="17" width="19.5" bestFit="1" customWidth="1"/>
    <col min="18" max="18" width="21.875" bestFit="1" customWidth="1"/>
    <col min="19" max="19" width="24.375" bestFit="1" customWidth="1"/>
    <col min="20" max="20" width="19.75" bestFit="1" customWidth="1"/>
    <col min="21" max="21" width="18.125" bestFit="1" customWidth="1"/>
  </cols>
  <sheetData>
    <row r="1" spans="1:21" ht="16.5" x14ac:dyDescent="0.3">
      <c r="A1" s="46" t="s">
        <v>56</v>
      </c>
      <c r="B1" s="46" t="s">
        <v>57</v>
      </c>
      <c r="C1" s="46" t="s">
        <v>58</v>
      </c>
      <c r="D1" s="46" t="s">
        <v>59</v>
      </c>
      <c r="E1" s="46" t="s">
        <v>60</v>
      </c>
      <c r="F1" s="46" t="s">
        <v>61</v>
      </c>
      <c r="G1" s="46" t="s">
        <v>62</v>
      </c>
      <c r="H1" s="46" t="s">
        <v>63</v>
      </c>
      <c r="I1" s="46" t="s">
        <v>64</v>
      </c>
      <c r="J1" s="46" t="s">
        <v>80</v>
      </c>
      <c r="K1" s="46" t="s">
        <v>65</v>
      </c>
      <c r="L1" s="46" t="s">
        <v>72</v>
      </c>
      <c r="M1" s="46" t="s">
        <v>82</v>
      </c>
      <c r="N1" s="46" t="s">
        <v>67</v>
      </c>
      <c r="O1" s="46" t="s">
        <v>68</v>
      </c>
      <c r="P1" s="46" t="s">
        <v>69</v>
      </c>
      <c r="Q1" s="46" t="s">
        <v>70</v>
      </c>
      <c r="R1" s="46" t="s">
        <v>71</v>
      </c>
      <c r="S1" s="46" t="s">
        <v>168</v>
      </c>
      <c r="T1" s="46" t="s">
        <v>73</v>
      </c>
      <c r="U1" s="46" t="s">
        <v>66</v>
      </c>
    </row>
    <row r="2" spans="1:21" ht="16.5" x14ac:dyDescent="0.3">
      <c r="A2" s="47">
        <v>1</v>
      </c>
      <c r="B2" s="55">
        <v>0</v>
      </c>
      <c r="C2" s="55">
        <v>0</v>
      </c>
      <c r="D2" s="55">
        <v>10102686.98</v>
      </c>
      <c r="E2" s="55">
        <v>2718441.92</v>
      </c>
      <c r="F2" s="55">
        <v>7384245.0599999996</v>
      </c>
      <c r="G2" s="55">
        <v>10102686.98</v>
      </c>
      <c r="H2" s="55">
        <v>2718441.92</v>
      </c>
      <c r="I2" s="55">
        <v>7384245.0599999996</v>
      </c>
      <c r="J2" s="55">
        <v>131506.85</v>
      </c>
      <c r="K2" s="55">
        <v>88621.21</v>
      </c>
      <c r="L2" s="55">
        <v>1000000</v>
      </c>
      <c r="M2" s="55">
        <v>129166.67</v>
      </c>
      <c r="N2" s="55">
        <v>0</v>
      </c>
      <c r="O2" s="55">
        <v>0</v>
      </c>
      <c r="P2" s="55">
        <v>8753392.25</v>
      </c>
      <c r="Q2" s="55">
        <v>0</v>
      </c>
      <c r="R2" s="55">
        <v>0</v>
      </c>
      <c r="S2" s="55">
        <v>8270922.0756930001</v>
      </c>
      <c r="T2" s="55">
        <v>482470.17430700001</v>
      </c>
      <c r="U2" s="55">
        <v>679452.05</v>
      </c>
    </row>
    <row r="3" spans="1:21" ht="16.5" x14ac:dyDescent="0.3">
      <c r="A3" s="47">
        <v>2</v>
      </c>
      <c r="B3" s="55">
        <v>0</v>
      </c>
      <c r="C3" s="55">
        <v>0</v>
      </c>
      <c r="D3" s="55">
        <v>10102686.98</v>
      </c>
      <c r="E3" s="55">
        <v>2503067.88</v>
      </c>
      <c r="F3" s="55">
        <v>7599619.0999999996</v>
      </c>
      <c r="G3" s="55">
        <v>11068168.640000001</v>
      </c>
      <c r="H3" s="55">
        <v>2744302.62</v>
      </c>
      <c r="I3" s="55">
        <v>8323866.0199999996</v>
      </c>
      <c r="J3" s="55">
        <v>123287.67</v>
      </c>
      <c r="K3" s="55">
        <v>89464.27</v>
      </c>
      <c r="L3" s="55">
        <v>0</v>
      </c>
      <c r="M3" s="55">
        <v>125000</v>
      </c>
      <c r="N3" s="55">
        <v>0</v>
      </c>
      <c r="O3" s="55">
        <v>0</v>
      </c>
      <c r="P3" s="55">
        <v>10730416.699999999</v>
      </c>
      <c r="Q3" s="55">
        <v>724246.92137274996</v>
      </c>
      <c r="R3" s="55">
        <v>241234.73701775001</v>
      </c>
      <c r="S3" s="55">
        <v>10138976.733896</v>
      </c>
      <c r="T3" s="55">
        <v>591439.96610399999</v>
      </c>
      <c r="U3" s="55">
        <v>1336986.3</v>
      </c>
    </row>
    <row r="4" spans="1:21" ht="16.5" x14ac:dyDescent="0.3">
      <c r="A4" s="47">
        <v>3</v>
      </c>
      <c r="B4" s="55">
        <v>0</v>
      </c>
      <c r="C4" s="55">
        <v>0</v>
      </c>
      <c r="D4" s="55">
        <v>10102686.98</v>
      </c>
      <c r="E4" s="55">
        <v>2281412</v>
      </c>
      <c r="F4" s="55">
        <v>7821274.9800000004</v>
      </c>
      <c r="G4" s="55">
        <v>12251703.390000001</v>
      </c>
      <c r="H4" s="55">
        <v>2797235.6</v>
      </c>
      <c r="I4" s="55">
        <v>9454467.7799999993</v>
      </c>
      <c r="J4" s="55">
        <v>127397.26</v>
      </c>
      <c r="K4" s="55">
        <v>91189.88</v>
      </c>
      <c r="L4" s="55">
        <v>0</v>
      </c>
      <c r="M4" s="55">
        <v>129166.67</v>
      </c>
      <c r="N4" s="55">
        <v>0</v>
      </c>
      <c r="O4" s="55">
        <v>0</v>
      </c>
      <c r="P4" s="55">
        <v>11903949.57</v>
      </c>
      <c r="Q4" s="55">
        <v>1633192.8042133001</v>
      </c>
      <c r="R4" s="55">
        <v>515823.60196155001</v>
      </c>
      <c r="S4" s="55">
        <v>11247826.725284999</v>
      </c>
      <c r="T4" s="55">
        <v>656122.84471500001</v>
      </c>
      <c r="U4" s="55">
        <v>2016438.35</v>
      </c>
    </row>
    <row r="5" spans="1:21" ht="16.5" x14ac:dyDescent="0.3">
      <c r="A5" s="47">
        <v>4</v>
      </c>
      <c r="B5" s="55">
        <v>0</v>
      </c>
      <c r="C5" s="55">
        <v>0</v>
      </c>
      <c r="D5" s="55">
        <v>10102686.98</v>
      </c>
      <c r="E5" s="55">
        <v>2053291.23</v>
      </c>
      <c r="F5" s="55">
        <v>8049395.75</v>
      </c>
      <c r="G5" s="55">
        <v>13564691.99</v>
      </c>
      <c r="H5" s="55">
        <v>2849537.88</v>
      </c>
      <c r="I5" s="55">
        <v>10715154.109999999</v>
      </c>
      <c r="J5" s="55">
        <v>127397.26</v>
      </c>
      <c r="K5" s="55">
        <v>92894.93</v>
      </c>
      <c r="L5" s="55">
        <v>0</v>
      </c>
      <c r="M5" s="55">
        <v>129166.67</v>
      </c>
      <c r="N5" s="55">
        <v>0</v>
      </c>
      <c r="O5" s="55">
        <v>0</v>
      </c>
      <c r="P5" s="55">
        <v>13215233.130000001</v>
      </c>
      <c r="Q5" s="55">
        <v>2665758.3629238801</v>
      </c>
      <c r="R5" s="55">
        <v>796246.64929063001</v>
      </c>
      <c r="S5" s="55">
        <v>12556040.914587</v>
      </c>
      <c r="T5" s="55">
        <v>659192.21541299997</v>
      </c>
      <c r="U5" s="55">
        <v>2695890.4</v>
      </c>
    </row>
    <row r="6" spans="1:21" ht="16.5" x14ac:dyDescent="0.3">
      <c r="A6" s="47">
        <v>5</v>
      </c>
      <c r="B6" s="55">
        <v>0</v>
      </c>
      <c r="C6" s="55">
        <v>0</v>
      </c>
      <c r="D6" s="55">
        <v>10102686.98</v>
      </c>
      <c r="E6" s="55">
        <v>1818516.97</v>
      </c>
      <c r="F6" s="55">
        <v>8284170.0099999998</v>
      </c>
      <c r="G6" s="55">
        <v>15171066</v>
      </c>
      <c r="H6" s="55">
        <v>2903239.48</v>
      </c>
      <c r="I6" s="55">
        <v>12267826.51</v>
      </c>
      <c r="J6" s="55">
        <v>115068.49</v>
      </c>
      <c r="K6" s="55">
        <v>94645.61</v>
      </c>
      <c r="L6" s="55">
        <v>0</v>
      </c>
      <c r="M6" s="55">
        <v>116666.67</v>
      </c>
      <c r="N6" s="55">
        <v>0</v>
      </c>
      <c r="O6" s="55">
        <v>0</v>
      </c>
      <c r="P6" s="55">
        <v>14844685.220000001</v>
      </c>
      <c r="Q6" s="55">
        <v>3983656.5033200001</v>
      </c>
      <c r="R6" s="55">
        <v>1084722.5136623599</v>
      </c>
      <c r="S6" s="55">
        <v>14342690.961386001</v>
      </c>
      <c r="T6" s="55">
        <v>501994.25861399999</v>
      </c>
      <c r="U6" s="55">
        <v>3309589.03</v>
      </c>
    </row>
    <row r="7" spans="1:21" ht="16.5" x14ac:dyDescent="0.3">
      <c r="A7" s="47">
        <v>6</v>
      </c>
      <c r="B7" s="55">
        <v>0</v>
      </c>
      <c r="C7" s="55">
        <v>0</v>
      </c>
      <c r="D7" s="55">
        <v>10102686.98</v>
      </c>
      <c r="E7" s="55">
        <v>1576894.99</v>
      </c>
      <c r="F7" s="55">
        <v>8525791.9900000002</v>
      </c>
      <c r="G7" s="55">
        <v>17811401.300000001</v>
      </c>
      <c r="H7" s="55">
        <v>2963766.74</v>
      </c>
      <c r="I7" s="55">
        <v>14847634.560000001</v>
      </c>
      <c r="J7" s="55">
        <v>127397.26</v>
      </c>
      <c r="K7" s="55">
        <v>96618.8</v>
      </c>
      <c r="L7" s="55">
        <v>0</v>
      </c>
      <c r="M7" s="55">
        <v>129166.67</v>
      </c>
      <c r="N7" s="55">
        <v>0</v>
      </c>
      <c r="O7" s="55">
        <v>0</v>
      </c>
      <c r="P7" s="55">
        <v>17458218.57</v>
      </c>
      <c r="Q7" s="55">
        <v>6321842.5651495196</v>
      </c>
      <c r="R7" s="55">
        <v>1386871.7536245901</v>
      </c>
      <c r="S7" s="55">
        <v>16867843.943803001</v>
      </c>
      <c r="T7" s="55">
        <v>590374.62619700003</v>
      </c>
      <c r="U7" s="55">
        <v>3989041.08</v>
      </c>
    </row>
    <row r="8" spans="1:21" ht="16.5" x14ac:dyDescent="0.3">
      <c r="A8" s="47">
        <v>7</v>
      </c>
      <c r="B8" s="55">
        <v>0</v>
      </c>
      <c r="C8" s="55">
        <v>0</v>
      </c>
      <c r="D8" s="55">
        <v>10102686.98</v>
      </c>
      <c r="E8" s="55">
        <v>1328225.8899999999</v>
      </c>
      <c r="F8" s="55">
        <v>8774461.0899999999</v>
      </c>
      <c r="G8" s="55">
        <v>20916557.239999998</v>
      </c>
      <c r="H8" s="55">
        <v>3022682.16</v>
      </c>
      <c r="I8" s="55">
        <v>17893875.07</v>
      </c>
      <c r="J8" s="55">
        <v>123287.67</v>
      </c>
      <c r="K8" s="55">
        <v>98539.44</v>
      </c>
      <c r="L8" s="55">
        <v>0</v>
      </c>
      <c r="M8" s="55">
        <v>125000</v>
      </c>
      <c r="N8" s="55">
        <v>0</v>
      </c>
      <c r="O8" s="55">
        <v>0</v>
      </c>
      <c r="P8" s="55">
        <v>20569730.120000001</v>
      </c>
      <c r="Q8" s="55">
        <v>9119413.98475294</v>
      </c>
      <c r="R8" s="55">
        <v>1694456.2712795001</v>
      </c>
      <c r="S8" s="55">
        <v>19874135.281277999</v>
      </c>
      <c r="T8" s="55">
        <v>695594.83872200001</v>
      </c>
      <c r="U8" s="55">
        <v>4646575.33</v>
      </c>
    </row>
    <row r="9" spans="1:21" ht="16.5" x14ac:dyDescent="0.3">
      <c r="A9" s="47">
        <v>8</v>
      </c>
      <c r="B9" s="55">
        <v>0</v>
      </c>
      <c r="C9" s="55">
        <v>0</v>
      </c>
      <c r="D9" s="55">
        <v>10102686.98</v>
      </c>
      <c r="E9" s="55">
        <v>1072303.77</v>
      </c>
      <c r="F9" s="55">
        <v>9030383.2100000009</v>
      </c>
      <c r="G9" s="55">
        <v>24575163.190000001</v>
      </c>
      <c r="H9" s="55">
        <v>3080450.79</v>
      </c>
      <c r="I9" s="55">
        <v>21494712.399999999</v>
      </c>
      <c r="J9" s="55">
        <v>127397.26</v>
      </c>
      <c r="K9" s="55">
        <v>100422.7</v>
      </c>
      <c r="L9" s="55">
        <v>0</v>
      </c>
      <c r="M9" s="55">
        <v>129166.67</v>
      </c>
      <c r="N9" s="55">
        <v>0</v>
      </c>
      <c r="O9" s="55">
        <v>0</v>
      </c>
      <c r="P9" s="55">
        <v>24218176.559999999</v>
      </c>
      <c r="Q9" s="55">
        <v>12464329.1909182</v>
      </c>
      <c r="R9" s="55">
        <v>2008147.01514808</v>
      </c>
      <c r="S9" s="55">
        <v>23531832.951926</v>
      </c>
      <c r="T9" s="55">
        <v>686343.60807399999</v>
      </c>
      <c r="U9" s="55">
        <v>5326027.38</v>
      </c>
    </row>
    <row r="10" spans="1:21" ht="16.5" x14ac:dyDescent="0.3">
      <c r="A10" s="47">
        <v>9</v>
      </c>
      <c r="B10" s="55">
        <v>0</v>
      </c>
      <c r="C10" s="55">
        <v>0</v>
      </c>
      <c r="D10" s="55">
        <v>10102686.970000001</v>
      </c>
      <c r="E10" s="55">
        <v>808917.3</v>
      </c>
      <c r="F10" s="55">
        <v>9293769.6699999999</v>
      </c>
      <c r="G10" s="55">
        <v>29701225.260000002</v>
      </c>
      <c r="H10" s="55">
        <v>3139845.55</v>
      </c>
      <c r="I10" s="55">
        <v>26561379.710000001</v>
      </c>
      <c r="J10" s="55">
        <v>123287.67</v>
      </c>
      <c r="K10" s="55">
        <v>102358.96</v>
      </c>
      <c r="L10" s="55">
        <v>0</v>
      </c>
      <c r="M10" s="55">
        <v>125000</v>
      </c>
      <c r="N10" s="55">
        <v>0</v>
      </c>
      <c r="O10" s="55">
        <v>0</v>
      </c>
      <c r="P10" s="55">
        <v>29350578.629999999</v>
      </c>
      <c r="Q10" s="55">
        <v>17267610.0429538</v>
      </c>
      <c r="R10" s="55">
        <v>2330928.2473202399</v>
      </c>
      <c r="S10" s="55">
        <v>28845777.441130999</v>
      </c>
      <c r="T10" s="55">
        <v>504801.18886900001</v>
      </c>
      <c r="U10" s="55">
        <v>5983561.6299999999</v>
      </c>
    </row>
    <row r="11" spans="1:21" ht="16.5" x14ac:dyDescent="0.3">
      <c r="A11" s="47">
        <v>10</v>
      </c>
      <c r="B11" s="55">
        <v>0</v>
      </c>
      <c r="C11" s="55">
        <v>0</v>
      </c>
      <c r="D11" s="55">
        <v>10102686.24</v>
      </c>
      <c r="E11" s="55">
        <v>537848.74</v>
      </c>
      <c r="F11" s="55">
        <v>9564837.5</v>
      </c>
      <c r="G11" s="55">
        <v>39882708.880000003</v>
      </c>
      <c r="H11" s="55">
        <v>3206463.58</v>
      </c>
      <c r="I11" s="55">
        <v>36676245.299999997</v>
      </c>
      <c r="J11" s="55">
        <v>127397.26</v>
      </c>
      <c r="K11" s="55">
        <v>104530.71</v>
      </c>
      <c r="L11" s="55">
        <v>0</v>
      </c>
      <c r="M11" s="55">
        <v>129166.67</v>
      </c>
      <c r="N11" s="55">
        <v>0</v>
      </c>
      <c r="O11" s="55">
        <v>0</v>
      </c>
      <c r="P11" s="55">
        <v>39521614.240000002</v>
      </c>
      <c r="Q11" s="55">
        <v>27111407.8037518</v>
      </c>
      <c r="R11" s="55">
        <v>2668614.8365445598</v>
      </c>
      <c r="S11" s="55">
        <v>38841881.206253998</v>
      </c>
      <c r="T11" s="55">
        <v>679734.95374600007</v>
      </c>
      <c r="U11" s="55">
        <v>6663013.6799999997</v>
      </c>
    </row>
    <row r="12" spans="1:21" ht="16.5" x14ac:dyDescent="0.3">
      <c r="A12" s="47">
        <v>11</v>
      </c>
      <c r="B12" s="55">
        <v>0</v>
      </c>
      <c r="C12" s="55">
        <v>0</v>
      </c>
      <c r="D12" s="55">
        <v>4632921.25</v>
      </c>
      <c r="E12" s="55">
        <v>258873.96</v>
      </c>
      <c r="F12" s="55">
        <v>4374047.29</v>
      </c>
      <c r="G12" s="55">
        <v>48122762.829999998</v>
      </c>
      <c r="H12" s="55">
        <v>3269617.74</v>
      </c>
      <c r="I12" s="55">
        <v>44853145.100000001</v>
      </c>
      <c r="J12" s="55">
        <v>127397.26</v>
      </c>
      <c r="K12" s="55">
        <v>106589.54</v>
      </c>
      <c r="L12" s="55">
        <v>0</v>
      </c>
      <c r="M12" s="55">
        <v>129166.67</v>
      </c>
      <c r="N12" s="55">
        <v>0</v>
      </c>
      <c r="O12" s="55">
        <v>0</v>
      </c>
      <c r="P12" s="55">
        <v>0</v>
      </c>
      <c r="Q12" s="55">
        <v>40479097.805878699</v>
      </c>
      <c r="R12" s="55">
        <v>3010743.7781869001</v>
      </c>
      <c r="S12" s="55">
        <v>0</v>
      </c>
      <c r="T12" s="55">
        <v>0</v>
      </c>
      <c r="U12" s="55">
        <v>7342465.7300000004</v>
      </c>
    </row>
    <row r="13" spans="1:21" ht="16.5" x14ac:dyDescent="0.3">
      <c r="A13" s="47">
        <v>12</v>
      </c>
      <c r="B13" s="55">
        <v>0</v>
      </c>
      <c r="C13" s="55">
        <v>0</v>
      </c>
      <c r="D13" s="55">
        <v>4632918.28</v>
      </c>
      <c r="E13" s="55">
        <v>131297.46</v>
      </c>
      <c r="F13" s="55">
        <v>4501620.82</v>
      </c>
      <c r="G13" s="55">
        <v>44516917.75</v>
      </c>
      <c r="H13" s="55">
        <v>1961412.87</v>
      </c>
      <c r="I13" s="55">
        <v>42555504.880000003</v>
      </c>
      <c r="J13" s="55">
        <v>123287.67</v>
      </c>
      <c r="K13" s="55">
        <v>63942.06</v>
      </c>
      <c r="L13" s="55">
        <v>0</v>
      </c>
      <c r="M13" s="55">
        <v>125000</v>
      </c>
      <c r="N13" s="55">
        <v>0</v>
      </c>
      <c r="O13" s="55">
        <v>0</v>
      </c>
      <c r="P13" s="55">
        <v>0</v>
      </c>
      <c r="Q13" s="55">
        <v>38053884.0588127</v>
      </c>
      <c r="R13" s="55">
        <v>1830115.40646757</v>
      </c>
      <c r="S13" s="55">
        <v>0</v>
      </c>
      <c r="T13" s="55">
        <v>0</v>
      </c>
      <c r="U13" s="55">
        <v>7999999.9800000004</v>
      </c>
    </row>
    <row r="14" spans="1:21" ht="16.5" x14ac:dyDescent="0.3">
      <c r="A14" s="47">
        <v>13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25413746.32</v>
      </c>
      <c r="H14" s="55">
        <v>720252.06</v>
      </c>
      <c r="I14" s="55">
        <v>24693494.25</v>
      </c>
      <c r="J14" s="55">
        <v>127397.26</v>
      </c>
      <c r="K14" s="55">
        <v>23480.22</v>
      </c>
      <c r="L14" s="55">
        <v>0</v>
      </c>
      <c r="M14" s="55">
        <v>129166.67</v>
      </c>
      <c r="N14" s="55">
        <v>17097999.550000001</v>
      </c>
      <c r="O14" s="55">
        <v>100000000</v>
      </c>
      <c r="P14" s="55">
        <v>0</v>
      </c>
      <c r="Q14" s="55">
        <v>24693488.1927309</v>
      </c>
      <c r="R14" s="55">
        <v>720303.99480047007</v>
      </c>
      <c r="S14" s="55">
        <v>0</v>
      </c>
      <c r="T14" s="55">
        <v>0</v>
      </c>
      <c r="U14" s="55">
        <v>8679452.0299999993</v>
      </c>
    </row>
    <row r="15" spans="1:21" ht="16.5" x14ac:dyDescent="0.3">
      <c r="A15" s="1" t="s">
        <v>74</v>
      </c>
      <c r="B15" s="48">
        <f>SUM(B2:B14)</f>
        <v>0</v>
      </c>
      <c r="C15" s="48">
        <f t="shared" ref="C15:O15" si="0">SUM(C2:C14)</f>
        <v>0</v>
      </c>
      <c r="D15" s="48">
        <f t="shared" si="0"/>
        <v>110292708.58000001</v>
      </c>
      <c r="E15" s="48">
        <f t="shared" si="0"/>
        <v>17089092.110000003</v>
      </c>
      <c r="F15" s="48">
        <f t="shared" si="0"/>
        <v>93203616.469999999</v>
      </c>
      <c r="G15" s="48">
        <f t="shared" si="0"/>
        <v>313098799.76999998</v>
      </c>
      <c r="H15" s="48">
        <f t="shared" si="0"/>
        <v>35377248.990000002</v>
      </c>
      <c r="I15" s="48">
        <f t="shared" si="0"/>
        <v>277721550.75</v>
      </c>
      <c r="J15" s="48">
        <f t="shared" si="0"/>
        <v>1631506.84</v>
      </c>
      <c r="K15" s="48">
        <f t="shared" si="0"/>
        <v>1153298.3299999998</v>
      </c>
      <c r="L15" s="48">
        <f t="shared" si="0"/>
        <v>1000000</v>
      </c>
      <c r="M15" s="48">
        <f t="shared" si="0"/>
        <v>1650000.0299999998</v>
      </c>
      <c r="N15" s="48">
        <f t="shared" si="0"/>
        <v>17097999.550000001</v>
      </c>
      <c r="O15" s="48">
        <f t="shared" si="0"/>
        <v>100000000</v>
      </c>
      <c r="P15" s="48">
        <f t="shared" ref="P15:U15" si="1">SUM(P2:P14)</f>
        <v>190565994.99000001</v>
      </c>
      <c r="Q15" s="48">
        <f t="shared" si="1"/>
        <v>184517928.2367785</v>
      </c>
      <c r="R15" s="48">
        <f t="shared" si="1"/>
        <v>18288208.805304199</v>
      </c>
      <c r="S15" s="48">
        <f t="shared" si="1"/>
        <v>184517928.235239</v>
      </c>
      <c r="T15" s="48">
        <f t="shared" si="1"/>
        <v>6048068.6747610001</v>
      </c>
      <c r="U15" s="48">
        <f t="shared" si="1"/>
        <v>60668492.969999999</v>
      </c>
    </row>
    <row r="16" spans="1:21" ht="16.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55"/>
      <c r="T16" s="55"/>
    </row>
    <row r="17" spans="1:20" ht="16.5" x14ac:dyDescent="0.3">
      <c r="A17" s="3"/>
      <c r="B17" s="45" t="s">
        <v>83</v>
      </c>
      <c r="C17" s="52">
        <v>6026933.5491942</v>
      </c>
      <c r="D17" s="3"/>
      <c r="E17" s="3"/>
      <c r="F17" s="3"/>
      <c r="G17" s="3"/>
      <c r="H17" s="3"/>
      <c r="I17" s="49"/>
      <c r="J17" s="3"/>
      <c r="K17" s="3"/>
      <c r="L17" s="3"/>
      <c r="M17" s="3"/>
      <c r="N17" s="3"/>
      <c r="O17" s="3"/>
      <c r="P17" s="3"/>
      <c r="Q17" s="50"/>
      <c r="R17" s="50"/>
      <c r="T17" s="56"/>
    </row>
    <row r="18" spans="1:20" ht="16.5" x14ac:dyDescent="0.3">
      <c r="A18" s="3"/>
      <c r="B18" s="45" t="s">
        <v>84</v>
      </c>
      <c r="C18" s="52">
        <f>T15</f>
        <v>6048068.6747610001</v>
      </c>
      <c r="D18" s="3"/>
      <c r="E18" s="50"/>
      <c r="F18" s="3"/>
      <c r="G18" s="3"/>
      <c r="H18" s="3"/>
      <c r="I18" s="49"/>
      <c r="J18" s="3"/>
      <c r="K18" s="3"/>
      <c r="L18" s="3"/>
      <c r="M18" s="3"/>
      <c r="N18" s="3"/>
      <c r="O18" s="3"/>
      <c r="P18" s="3"/>
      <c r="Q18" s="3"/>
      <c r="R18" s="3"/>
    </row>
    <row r="19" spans="1:20" ht="16.5" x14ac:dyDescent="0.3">
      <c r="A19" s="3"/>
      <c r="B19" s="45" t="s">
        <v>85</v>
      </c>
      <c r="C19" s="52">
        <f>C17+C18</f>
        <v>12075002.223955199</v>
      </c>
      <c r="D19" s="3"/>
      <c r="E19" s="3"/>
      <c r="F19" s="3"/>
      <c r="G19" s="3"/>
      <c r="H19" s="3"/>
      <c r="I19" s="49"/>
      <c r="J19" s="3"/>
      <c r="K19" s="3"/>
      <c r="L19" s="3"/>
      <c r="M19" s="3"/>
      <c r="N19" s="3"/>
      <c r="O19" s="3"/>
      <c r="P19" s="3"/>
      <c r="Q19" s="3"/>
      <c r="R19" s="3"/>
    </row>
    <row r="20" spans="1:20" ht="16.5" x14ac:dyDescent="0.3">
      <c r="A20" s="3"/>
      <c r="B20" s="45" t="s">
        <v>86</v>
      </c>
      <c r="C20" s="52">
        <f>N14-U14</f>
        <v>8418547.5200000014</v>
      </c>
      <c r="D20" s="3"/>
      <c r="E20" s="49"/>
      <c r="F20" s="3"/>
      <c r="G20" s="3"/>
      <c r="H20" s="3"/>
      <c r="I20" s="49"/>
      <c r="J20" s="3"/>
      <c r="K20" s="3"/>
      <c r="L20" s="3"/>
      <c r="M20" s="3"/>
      <c r="N20" s="3"/>
      <c r="O20" s="3"/>
      <c r="P20" s="3"/>
      <c r="Q20" s="3"/>
      <c r="R20" s="3"/>
    </row>
    <row r="21" spans="1:20" ht="16.5" x14ac:dyDescent="0.3">
      <c r="A21" s="3"/>
      <c r="B21" s="3"/>
      <c r="C21" s="49"/>
      <c r="D21" s="49"/>
      <c r="E21" s="49"/>
      <c r="F21" s="3"/>
      <c r="G21" s="3"/>
      <c r="H21" s="3"/>
      <c r="I21" s="49"/>
      <c r="J21" s="3"/>
      <c r="K21" s="3"/>
      <c r="L21" s="3"/>
      <c r="M21" s="3"/>
      <c r="N21" s="3"/>
      <c r="O21" s="3"/>
      <c r="P21" s="3"/>
      <c r="Q21" s="3"/>
      <c r="R21" s="3"/>
    </row>
    <row r="22" spans="1:20" ht="16.5" x14ac:dyDescent="0.3">
      <c r="A22" s="1" t="s">
        <v>75</v>
      </c>
      <c r="B22" s="3" t="s">
        <v>63</v>
      </c>
      <c r="C22" s="49">
        <f>$H$15</f>
        <v>35377248.990000002</v>
      </c>
      <c r="D22" s="3"/>
      <c r="E22" s="51"/>
      <c r="F22" s="3"/>
      <c r="G22" s="3"/>
      <c r="H22" s="3"/>
      <c r="I22" s="49"/>
      <c r="J22" s="3"/>
      <c r="K22" s="3"/>
      <c r="L22" s="3"/>
      <c r="M22" s="3"/>
      <c r="N22" s="3"/>
      <c r="O22" s="3"/>
      <c r="P22" s="3"/>
      <c r="Q22" s="3"/>
      <c r="R22" s="3"/>
    </row>
    <row r="23" spans="1:20" ht="16.5" x14ac:dyDescent="0.3">
      <c r="A23" s="3"/>
      <c r="B23" s="50" t="s">
        <v>64</v>
      </c>
      <c r="C23" s="49">
        <f>$I$15</f>
        <v>277721550.75</v>
      </c>
      <c r="D23" s="3"/>
      <c r="E23" s="3"/>
      <c r="F23" s="3"/>
      <c r="G23" s="3"/>
      <c r="H23" s="3"/>
      <c r="I23" s="50"/>
      <c r="J23" s="3"/>
      <c r="K23" s="3"/>
      <c r="L23" s="3"/>
      <c r="M23" s="3"/>
      <c r="N23" s="3"/>
      <c r="O23" s="3"/>
      <c r="P23" s="3"/>
      <c r="Q23" s="3"/>
      <c r="R23" s="3"/>
    </row>
    <row r="24" spans="1:20" ht="16.5" x14ac:dyDescent="0.3">
      <c r="A24" s="1" t="s">
        <v>76</v>
      </c>
      <c r="B24" s="3" t="s">
        <v>79</v>
      </c>
      <c r="C24" s="49">
        <f>$J$15</f>
        <v>1631506.84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0" ht="16.5" x14ac:dyDescent="0.3">
      <c r="A25" s="3"/>
      <c r="B25" s="3" t="s">
        <v>65</v>
      </c>
      <c r="C25" s="49">
        <f>$K$15</f>
        <v>1153298.3299999998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20" ht="16.5" x14ac:dyDescent="0.3">
      <c r="A26" s="3"/>
      <c r="B26" s="3" t="s">
        <v>72</v>
      </c>
      <c r="C26" s="49">
        <f>$L$15</f>
        <v>1000000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 t="s">
        <v>169</v>
      </c>
      <c r="Q26" s="3"/>
      <c r="R26" s="3"/>
    </row>
    <row r="27" spans="1:20" ht="16.5" x14ac:dyDescent="0.3">
      <c r="A27" s="3"/>
      <c r="B27" s="3" t="s">
        <v>81</v>
      </c>
      <c r="C27" s="49">
        <f>$M$15</f>
        <v>1650000.0299999998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0" ht="16.5" x14ac:dyDescent="0.3">
      <c r="A28" s="3"/>
      <c r="B28" s="50" t="s">
        <v>67</v>
      </c>
      <c r="C28" s="49">
        <f>$N$15</f>
        <v>17097999.550000001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0" ht="16.5" x14ac:dyDescent="0.3">
      <c r="A29" s="3"/>
      <c r="B29" s="50" t="s">
        <v>68</v>
      </c>
      <c r="C29" s="50">
        <f>O15</f>
        <v>100000000</v>
      </c>
      <c r="D29" s="3"/>
      <c r="E29" s="5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20" ht="16.5" x14ac:dyDescent="0.3">
      <c r="A30" s="3"/>
      <c r="B30" s="50" t="s">
        <v>69</v>
      </c>
      <c r="C30" s="50">
        <f>$P$15</f>
        <v>190565994.99000001</v>
      </c>
      <c r="D30" s="3"/>
      <c r="E30" s="5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0" ht="16.5" x14ac:dyDescent="0.3">
      <c r="A31" s="3"/>
      <c r="B31" s="3" t="s">
        <v>77</v>
      </c>
      <c r="C31" s="50">
        <f>SUM(C22:C23)-SUM(C24:C30)</f>
        <v>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20" ht="16.5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6.5" x14ac:dyDescent="0.3">
      <c r="B33" s="3" t="s">
        <v>78</v>
      </c>
      <c r="C33" s="50">
        <f>C14</f>
        <v>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6.5" x14ac:dyDescent="0.3">
      <c r="B34" s="3" t="s">
        <v>43</v>
      </c>
      <c r="C34" s="54">
        <f>C33/C23</f>
        <v>0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6.5" x14ac:dyDescent="0.3">
      <c r="B35" t="s">
        <v>99</v>
      </c>
      <c r="C35" s="57">
        <v>7.0000000000000007E-2</v>
      </c>
      <c r="D35" s="3"/>
      <c r="E35" s="50"/>
      <c r="F35" s="5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6.5" x14ac:dyDescent="0.3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6.5" x14ac:dyDescent="0.3">
      <c r="A37" t="s">
        <v>98</v>
      </c>
      <c r="B37" t="s">
        <v>93</v>
      </c>
      <c r="C37" t="s">
        <v>95</v>
      </c>
      <c r="D37" t="s">
        <v>96</v>
      </c>
      <c r="E37" t="s">
        <v>97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6.5" x14ac:dyDescent="0.3">
      <c r="B38" s="62">
        <v>5000000</v>
      </c>
      <c r="C38" s="63">
        <v>12</v>
      </c>
      <c r="D38" s="55">
        <f>B38/(1+$C$35*C38/12)</f>
        <v>4672897.1962616816</v>
      </c>
      <c r="E38" s="56">
        <f>D38*$C$35*C38/12</f>
        <v>327102.80373831774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6.5" x14ac:dyDescent="0.3">
      <c r="B39" s="62">
        <v>5000000</v>
      </c>
      <c r="C39" s="63">
        <v>12</v>
      </c>
      <c r="D39" s="55">
        <f>B39/(1+$C$35*C39/12)</f>
        <v>4672897.1962616816</v>
      </c>
      <c r="E39" s="56">
        <f t="shared" ref="E39:E57" si="2">D39*0.07*C39/12</f>
        <v>327102.80373831774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6.5" x14ac:dyDescent="0.3">
      <c r="B40" s="62">
        <v>5000000</v>
      </c>
      <c r="C40" s="63">
        <v>12</v>
      </c>
      <c r="D40" s="55">
        <f t="shared" ref="D40:D57" si="3">B40/(1+$C$35*C40/12)</f>
        <v>4672897.1962616816</v>
      </c>
      <c r="E40" s="56">
        <f t="shared" si="2"/>
        <v>327102.80373831774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6.5" x14ac:dyDescent="0.3">
      <c r="B41" s="62">
        <v>5000000</v>
      </c>
      <c r="C41" s="63">
        <v>12</v>
      </c>
      <c r="D41" s="55">
        <f t="shared" si="3"/>
        <v>4672897.1962616816</v>
      </c>
      <c r="E41" s="56">
        <f t="shared" si="2"/>
        <v>327102.80373831774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6.5" x14ac:dyDescent="0.3">
      <c r="B42" s="62">
        <v>5000000</v>
      </c>
      <c r="C42" s="63">
        <v>12</v>
      </c>
      <c r="D42" s="55">
        <f t="shared" si="3"/>
        <v>4672897.1962616816</v>
      </c>
      <c r="E42" s="56">
        <f t="shared" si="2"/>
        <v>327102.80373831774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6.5" x14ac:dyDescent="0.3">
      <c r="B43" s="62">
        <v>5000000</v>
      </c>
      <c r="C43" s="63">
        <v>12</v>
      </c>
      <c r="D43" s="55">
        <f t="shared" si="3"/>
        <v>4672897.1962616816</v>
      </c>
      <c r="E43" s="56">
        <f t="shared" si="2"/>
        <v>327102.80373831774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16.5" x14ac:dyDescent="0.3">
      <c r="B44" s="62">
        <v>5000000</v>
      </c>
      <c r="C44" s="63">
        <v>12</v>
      </c>
      <c r="D44" s="55">
        <f t="shared" si="3"/>
        <v>4672897.1962616816</v>
      </c>
      <c r="E44" s="56">
        <f t="shared" si="2"/>
        <v>327102.80373831774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16.5" x14ac:dyDescent="0.3">
      <c r="B45" s="62">
        <v>5000000</v>
      </c>
      <c r="C45" s="63">
        <v>12</v>
      </c>
      <c r="D45" s="55">
        <f t="shared" si="3"/>
        <v>4672897.1962616816</v>
      </c>
      <c r="E45" s="56">
        <f t="shared" si="2"/>
        <v>327102.80373831774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B46" s="62">
        <v>5000000</v>
      </c>
      <c r="C46" s="63">
        <v>12</v>
      </c>
      <c r="D46" s="55">
        <f t="shared" si="3"/>
        <v>4672897.1962616816</v>
      </c>
      <c r="E46" s="56">
        <f t="shared" si="2"/>
        <v>327102.80373831774</v>
      </c>
    </row>
    <row r="47" spans="1:18" x14ac:dyDescent="0.2">
      <c r="B47" s="62">
        <v>5000000</v>
      </c>
      <c r="C47" s="63">
        <v>12</v>
      </c>
      <c r="D47" s="55">
        <f t="shared" si="3"/>
        <v>4672897.1962616816</v>
      </c>
      <c r="E47" s="56">
        <f t="shared" si="2"/>
        <v>327102.80373831774</v>
      </c>
    </row>
    <row r="48" spans="1:18" x14ac:dyDescent="0.2">
      <c r="B48" s="62">
        <v>5000000</v>
      </c>
      <c r="C48" s="63">
        <v>10</v>
      </c>
      <c r="D48" s="55">
        <f t="shared" si="3"/>
        <v>4724409.4488188978</v>
      </c>
      <c r="E48" s="56">
        <f t="shared" si="2"/>
        <v>275590.5511811024</v>
      </c>
    </row>
    <row r="49" spans="1:5" x14ac:dyDescent="0.2">
      <c r="B49" s="62">
        <v>5000000</v>
      </c>
      <c r="C49" s="63">
        <v>10</v>
      </c>
      <c r="D49" s="55">
        <f t="shared" si="3"/>
        <v>4724409.4488188978</v>
      </c>
      <c r="E49" s="56">
        <f t="shared" si="2"/>
        <v>275590.5511811024</v>
      </c>
    </row>
    <row r="50" spans="1:5" x14ac:dyDescent="0.2">
      <c r="B50" s="62">
        <v>5000000</v>
      </c>
      <c r="C50" s="63">
        <v>10</v>
      </c>
      <c r="D50" s="55">
        <f t="shared" si="3"/>
        <v>4724409.4488188978</v>
      </c>
      <c r="E50" s="56">
        <f t="shared" si="2"/>
        <v>275590.5511811024</v>
      </c>
    </row>
    <row r="51" spans="1:5" x14ac:dyDescent="0.2">
      <c r="B51" s="62">
        <v>5000000</v>
      </c>
      <c r="C51" s="63">
        <v>10</v>
      </c>
      <c r="D51" s="55">
        <f t="shared" si="3"/>
        <v>4724409.4488188978</v>
      </c>
      <c r="E51" s="56">
        <f t="shared" si="2"/>
        <v>275590.5511811024</v>
      </c>
    </row>
    <row r="52" spans="1:5" x14ac:dyDescent="0.2">
      <c r="B52" s="62">
        <v>5000000</v>
      </c>
      <c r="C52" s="63">
        <v>10</v>
      </c>
      <c r="D52" s="55">
        <f t="shared" si="3"/>
        <v>4724409.4488188978</v>
      </c>
      <c r="E52" s="56">
        <f t="shared" si="2"/>
        <v>275590.5511811024</v>
      </c>
    </row>
    <row r="53" spans="1:5" x14ac:dyDescent="0.2">
      <c r="B53" s="62">
        <v>5000000</v>
      </c>
      <c r="C53" s="63">
        <v>10</v>
      </c>
      <c r="D53" s="55">
        <f t="shared" si="3"/>
        <v>4724409.4488188978</v>
      </c>
      <c r="E53" s="56">
        <f t="shared" si="2"/>
        <v>275590.5511811024</v>
      </c>
    </row>
    <row r="54" spans="1:5" x14ac:dyDescent="0.2">
      <c r="B54" s="62">
        <v>5000000</v>
      </c>
      <c r="C54" s="63">
        <v>10</v>
      </c>
      <c r="D54" s="55">
        <f t="shared" si="3"/>
        <v>4724409.4488188978</v>
      </c>
      <c r="E54" s="56">
        <f t="shared" si="2"/>
        <v>275590.5511811024</v>
      </c>
    </row>
    <row r="55" spans="1:5" x14ac:dyDescent="0.2">
      <c r="B55" s="62">
        <v>5000000</v>
      </c>
      <c r="C55" s="63">
        <v>10</v>
      </c>
      <c r="D55" s="55">
        <f t="shared" si="3"/>
        <v>4724409.4488188978</v>
      </c>
      <c r="E55" s="56">
        <f t="shared" si="2"/>
        <v>275590.5511811024</v>
      </c>
    </row>
    <row r="56" spans="1:5" x14ac:dyDescent="0.2">
      <c r="B56" s="62">
        <v>5000000</v>
      </c>
      <c r="C56" s="63">
        <v>10</v>
      </c>
      <c r="D56" s="55">
        <f t="shared" si="3"/>
        <v>4724409.4488188978</v>
      </c>
      <c r="E56" s="56">
        <f t="shared" si="2"/>
        <v>275590.5511811024</v>
      </c>
    </row>
    <row r="57" spans="1:5" x14ac:dyDescent="0.2">
      <c r="B57" s="62">
        <v>5000000</v>
      </c>
      <c r="C57" s="63">
        <v>10</v>
      </c>
      <c r="D57" s="55">
        <f t="shared" si="3"/>
        <v>4724409.4488188978</v>
      </c>
      <c r="E57" s="56">
        <f t="shared" si="2"/>
        <v>275590.5511811024</v>
      </c>
    </row>
    <row r="58" spans="1:5" ht="16.5" x14ac:dyDescent="0.3">
      <c r="E58" s="52">
        <f>SUM(E38:E57)</f>
        <v>6026933.5491942</v>
      </c>
    </row>
    <row r="60" spans="1:5" x14ac:dyDescent="0.2">
      <c r="A60" t="s">
        <v>100</v>
      </c>
      <c r="B60" s="55">
        <v>8753392.25</v>
      </c>
      <c r="C60">
        <v>10</v>
      </c>
      <c r="D60" s="55">
        <f>B60/(1+$C$35*C60/12)</f>
        <v>8270921.8110236218</v>
      </c>
      <c r="E60" s="56">
        <f t="shared" ref="E60:E71" si="4">D60*0.07*C60/12</f>
        <v>482470.43897637795</v>
      </c>
    </row>
    <row r="61" spans="1:5" x14ac:dyDescent="0.2">
      <c r="B61" s="55">
        <v>10730416.699999999</v>
      </c>
      <c r="C61">
        <v>10</v>
      </c>
      <c r="D61" s="55">
        <f t="shared" ref="D61:D69" si="5">B61/(1+$C$35*C61/12)</f>
        <v>10138976.409448817</v>
      </c>
      <c r="E61" s="56">
        <f t="shared" si="4"/>
        <v>591440.29055118107</v>
      </c>
    </row>
    <row r="62" spans="1:5" x14ac:dyDescent="0.2">
      <c r="B62" s="55">
        <v>11903949.57</v>
      </c>
      <c r="C62">
        <v>10</v>
      </c>
      <c r="D62" s="55">
        <f t="shared" si="5"/>
        <v>11247826.365354331</v>
      </c>
      <c r="E62" s="56">
        <f t="shared" si="4"/>
        <v>656123.20464566944</v>
      </c>
    </row>
    <row r="63" spans="1:5" x14ac:dyDescent="0.2">
      <c r="B63" s="55">
        <v>13215233.130000001</v>
      </c>
      <c r="C63">
        <v>9</v>
      </c>
      <c r="D63" s="55">
        <f t="shared" si="5"/>
        <v>12556040.978622328</v>
      </c>
      <c r="E63" s="56">
        <f t="shared" si="4"/>
        <v>659192.15137767233</v>
      </c>
    </row>
    <row r="64" spans="1:5" x14ac:dyDescent="0.2">
      <c r="B64" s="55">
        <v>14844685.220000001</v>
      </c>
      <c r="C64">
        <v>6</v>
      </c>
      <c r="D64" s="55">
        <f t="shared" si="5"/>
        <v>14342691.033816427</v>
      </c>
      <c r="E64" s="56">
        <f t="shared" si="4"/>
        <v>501994.18618357502</v>
      </c>
    </row>
    <row r="65" spans="1:13" x14ac:dyDescent="0.2">
      <c r="B65" s="55">
        <v>17458218.57</v>
      </c>
      <c r="C65">
        <v>6</v>
      </c>
      <c r="D65" s="55">
        <f t="shared" si="5"/>
        <v>16867844.028985508</v>
      </c>
      <c r="E65" s="56">
        <f t="shared" si="4"/>
        <v>590374.54101449286</v>
      </c>
    </row>
    <row r="66" spans="1:13" x14ac:dyDescent="0.2">
      <c r="B66" s="55">
        <v>20569730.120000001</v>
      </c>
      <c r="C66">
        <v>6</v>
      </c>
      <c r="D66" s="55">
        <f t="shared" si="5"/>
        <v>19874135.381642513</v>
      </c>
      <c r="E66" s="56">
        <f t="shared" si="4"/>
        <v>695594.73835748807</v>
      </c>
    </row>
    <row r="67" spans="1:13" x14ac:dyDescent="0.2">
      <c r="B67" s="55">
        <v>24218176.559999999</v>
      </c>
      <c r="C67">
        <v>5</v>
      </c>
      <c r="D67" s="55">
        <f t="shared" si="5"/>
        <v>23531831.475303646</v>
      </c>
      <c r="E67" s="56">
        <f t="shared" si="4"/>
        <v>686345.08469635632</v>
      </c>
    </row>
    <row r="68" spans="1:13" x14ac:dyDescent="0.2">
      <c r="B68" s="55">
        <v>29350578.629999999</v>
      </c>
      <c r="C68">
        <v>3</v>
      </c>
      <c r="D68" s="55">
        <f t="shared" si="5"/>
        <v>28845777.523341522</v>
      </c>
      <c r="E68" s="56">
        <f t="shared" si="4"/>
        <v>504801.1066584767</v>
      </c>
    </row>
    <row r="69" spans="1:13" x14ac:dyDescent="0.2">
      <c r="B69" s="55">
        <v>39521614.240000002</v>
      </c>
      <c r="C69">
        <v>3</v>
      </c>
      <c r="D69" s="55">
        <f t="shared" si="5"/>
        <v>38841881.316953316</v>
      </c>
      <c r="E69" s="56">
        <f t="shared" si="4"/>
        <v>679732.92304668308</v>
      </c>
    </row>
    <row r="70" spans="1:13" x14ac:dyDescent="0.2">
      <c r="B70" s="55">
        <v>0</v>
      </c>
      <c r="E70" s="56">
        <f t="shared" si="4"/>
        <v>0</v>
      </c>
    </row>
    <row r="71" spans="1:13" x14ac:dyDescent="0.2">
      <c r="B71" s="55">
        <v>0</v>
      </c>
      <c r="E71" s="56">
        <f t="shared" si="4"/>
        <v>0</v>
      </c>
    </row>
    <row r="72" spans="1:13" ht="16.5" x14ac:dyDescent="0.3">
      <c r="B72" s="55">
        <v>0</v>
      </c>
      <c r="E72" s="52">
        <f>SUM(E60:E71)</f>
        <v>6048068.6655079732</v>
      </c>
    </row>
    <row r="74" spans="1:13" x14ac:dyDescent="0.2">
      <c r="A74" t="s">
        <v>102</v>
      </c>
      <c r="B74" t="s">
        <v>101</v>
      </c>
      <c r="C74" t="s">
        <v>123</v>
      </c>
      <c r="D74" t="s">
        <v>103</v>
      </c>
      <c r="E74" t="s">
        <v>104</v>
      </c>
      <c r="F74" t="s">
        <v>105</v>
      </c>
      <c r="G74" t="s">
        <v>106</v>
      </c>
      <c r="H74" t="s">
        <v>107</v>
      </c>
      <c r="I74" t="s">
        <v>108</v>
      </c>
      <c r="J74" t="s">
        <v>109</v>
      </c>
      <c r="K74" t="s">
        <v>110</v>
      </c>
      <c r="L74" t="s">
        <v>111</v>
      </c>
      <c r="M74" t="s">
        <v>112</v>
      </c>
    </row>
    <row r="75" spans="1:13" x14ac:dyDescent="0.2">
      <c r="A75">
        <v>1</v>
      </c>
      <c r="B75" s="55">
        <v>8270922.0756930001</v>
      </c>
      <c r="C75">
        <v>10</v>
      </c>
    </row>
    <row r="76" spans="1:13" x14ac:dyDescent="0.2">
      <c r="A76">
        <v>2</v>
      </c>
      <c r="B76" s="55">
        <v>10138976.733896</v>
      </c>
      <c r="C76">
        <v>10</v>
      </c>
      <c r="D76" s="58">
        <f>-PPMT(0.35/12,A76-1,$C$75,$B$75)</f>
        <v>724250.09153005364</v>
      </c>
    </row>
    <row r="77" spans="1:13" x14ac:dyDescent="0.2">
      <c r="A77">
        <v>3</v>
      </c>
      <c r="B77" s="55">
        <v>11247826.725284999</v>
      </c>
      <c r="C77">
        <v>10</v>
      </c>
      <c r="D77" s="58">
        <f t="shared" ref="D77:D85" si="6">-PPMT(0.35/12,A77-1,$C$76,$B$75)</f>
        <v>745374.05253301363</v>
      </c>
      <c r="E77" s="58">
        <f t="shared" ref="E77:E86" si="7">-PPMT(0.35/12,A77-2,$C$76,$B$76)</f>
        <v>887827.83350428299</v>
      </c>
    </row>
    <row r="78" spans="1:13" x14ac:dyDescent="0.2">
      <c r="A78">
        <v>4</v>
      </c>
      <c r="B78" s="55">
        <v>12556040.914587</v>
      </c>
      <c r="C78">
        <v>9</v>
      </c>
      <c r="D78" s="58">
        <f t="shared" si="6"/>
        <v>767114.12906522653</v>
      </c>
      <c r="E78" s="58">
        <f t="shared" si="7"/>
        <v>913722.81198149116</v>
      </c>
      <c r="F78" s="58">
        <f t="shared" ref="F78:F87" si="8">-PPMT(0.35/12,A78-3,$C$77,$B$77)</f>
        <v>984925.19464576046</v>
      </c>
    </row>
    <row r="79" spans="1:13" x14ac:dyDescent="0.2">
      <c r="A79">
        <v>5</v>
      </c>
      <c r="B79" s="55">
        <v>14342690.961386001</v>
      </c>
      <c r="C79">
        <v>6</v>
      </c>
      <c r="D79" s="58">
        <f t="shared" si="6"/>
        <v>789488.29116296233</v>
      </c>
      <c r="E79" s="58">
        <f t="shared" si="7"/>
        <v>940373.06066428474</v>
      </c>
      <c r="F79" s="58">
        <f t="shared" si="8"/>
        <v>1013652.179489595</v>
      </c>
      <c r="G79" s="58">
        <f t="shared" ref="G79:G87" si="9">-PPMT(0.35/12,A79-4,$C$78,$B$78)</f>
        <v>1240142.2931745593</v>
      </c>
    </row>
    <row r="80" spans="1:13" x14ac:dyDescent="0.2">
      <c r="A80">
        <v>6</v>
      </c>
      <c r="B80" s="55">
        <v>16867843.943803001</v>
      </c>
      <c r="C80">
        <v>6</v>
      </c>
      <c r="D80" s="58">
        <f t="shared" si="6"/>
        <v>812515.03298854863</v>
      </c>
      <c r="E80" s="58">
        <f t="shared" si="7"/>
        <v>967800.60826699296</v>
      </c>
      <c r="F80" s="58">
        <f t="shared" si="8"/>
        <v>1043217.0347247082</v>
      </c>
      <c r="G80" s="58">
        <f t="shared" si="9"/>
        <v>1276313.1100588173</v>
      </c>
      <c r="H80" s="58">
        <f t="shared" ref="H80:H85" si="10">-PPMT(0.35/12,A80-5,$C$79,$B$79)</f>
        <v>2221988.291655934</v>
      </c>
    </row>
    <row r="81" spans="1:14" x14ac:dyDescent="0.2">
      <c r="A81">
        <v>7</v>
      </c>
      <c r="B81" s="55">
        <v>19874135.281277999</v>
      </c>
      <c r="C81">
        <v>6</v>
      </c>
      <c r="D81" s="58">
        <f t="shared" si="6"/>
        <v>836213.38811738126</v>
      </c>
      <c r="E81" s="58">
        <f t="shared" si="7"/>
        <v>996028.12600811373</v>
      </c>
      <c r="F81" s="58">
        <f t="shared" si="8"/>
        <v>1073644.1982375123</v>
      </c>
      <c r="G81" s="58">
        <f t="shared" si="9"/>
        <v>1313538.9091021996</v>
      </c>
      <c r="H81" s="58">
        <f t="shared" si="10"/>
        <v>2286796.2834958988</v>
      </c>
      <c r="I81" s="58">
        <f t="shared" ref="I81:I86" si="11">-PPMT(0.35/12,A81-6,$C$80,$B$80)</f>
        <v>2613188.2677745325</v>
      </c>
    </row>
    <row r="82" spans="1:14" x14ac:dyDescent="0.2">
      <c r="A82">
        <v>8</v>
      </c>
      <c r="B82" s="55">
        <v>23531832.951926</v>
      </c>
      <c r="C82">
        <v>5</v>
      </c>
      <c r="D82" s="58">
        <f t="shared" si="6"/>
        <v>860602.94527080492</v>
      </c>
      <c r="E82" s="58">
        <f t="shared" si="7"/>
        <v>1025078.9463500169</v>
      </c>
      <c r="F82" s="58">
        <f t="shared" si="8"/>
        <v>1104958.8206861063</v>
      </c>
      <c r="G82" s="58">
        <f t="shared" si="9"/>
        <v>1351850.4606176801</v>
      </c>
      <c r="H82" s="58">
        <f t="shared" si="10"/>
        <v>2353494.5084311957</v>
      </c>
      <c r="I82" s="58">
        <f t="shared" si="11"/>
        <v>2689406.2589179561</v>
      </c>
      <c r="J82" s="58">
        <f t="shared" ref="J82:J87" si="12">-PPMT(0.35/12,A82-7,$C$81,$B$81)</f>
        <v>3078926.8220779146</v>
      </c>
    </row>
    <row r="83" spans="1:14" x14ac:dyDescent="0.2">
      <c r="A83">
        <v>9</v>
      </c>
      <c r="B83" s="55">
        <v>28845777.441130999</v>
      </c>
      <c r="C83">
        <v>3</v>
      </c>
      <c r="D83" s="58">
        <f t="shared" si="6"/>
        <v>885703.86450786993</v>
      </c>
      <c r="E83" s="58">
        <f t="shared" si="7"/>
        <v>1054977.0822852256</v>
      </c>
      <c r="F83" s="58">
        <f t="shared" si="8"/>
        <v>1137186.7862894509</v>
      </c>
      <c r="G83" s="58">
        <f t="shared" si="9"/>
        <v>1391279.4323856961</v>
      </c>
      <c r="H83" s="58">
        <f t="shared" si="10"/>
        <v>2422138.0982604385</v>
      </c>
      <c r="I83" s="58">
        <f t="shared" si="11"/>
        <v>2767847.2748030634</v>
      </c>
      <c r="J83" s="58">
        <f t="shared" si="12"/>
        <v>3168728.8543885201</v>
      </c>
      <c r="K83" s="58">
        <f>-PPMT(0.35/12,A83-8,$C$82,$B$82)</f>
        <v>4439718.5216580452</v>
      </c>
    </row>
    <row r="84" spans="1:14" x14ac:dyDescent="0.2">
      <c r="A84">
        <v>10</v>
      </c>
      <c r="B84" s="55">
        <v>38841881.206253998</v>
      </c>
      <c r="C84">
        <v>3</v>
      </c>
      <c r="D84" s="58">
        <f t="shared" si="6"/>
        <v>911536.89388934954</v>
      </c>
      <c r="E84" s="58">
        <f t="shared" si="7"/>
        <v>1085747.2471852114</v>
      </c>
      <c r="F84" s="58">
        <f t="shared" si="8"/>
        <v>1170354.7342228934</v>
      </c>
      <c r="G84" s="58">
        <f t="shared" si="9"/>
        <v>1431858.4158302785</v>
      </c>
      <c r="H84" s="58">
        <f t="shared" si="10"/>
        <v>2492783.792793035</v>
      </c>
      <c r="I84" s="58">
        <f t="shared" si="11"/>
        <v>2848576.1536514857</v>
      </c>
      <c r="J84" s="58">
        <f t="shared" si="12"/>
        <v>3261150.1126415189</v>
      </c>
      <c r="K84" s="58">
        <f>-PPMT(0.35/12,A84-8,$C$82,$B$82)</f>
        <v>4569210.3118730718</v>
      </c>
      <c r="L84" s="58">
        <f>-PPMT(0.35/12,A84-9,$C$83,$B$83)</f>
        <v>9340188.4355364628</v>
      </c>
    </row>
    <row r="85" spans="1:14" x14ac:dyDescent="0.2">
      <c r="A85">
        <v>11</v>
      </c>
      <c r="B85" s="55">
        <v>0</v>
      </c>
      <c r="D85" s="58">
        <f t="shared" si="6"/>
        <v>938123.38662778889</v>
      </c>
      <c r="E85" s="58">
        <f t="shared" si="7"/>
        <v>1117414.8752281135</v>
      </c>
      <c r="F85" s="58">
        <f t="shared" si="8"/>
        <v>1204490.0806377276</v>
      </c>
      <c r="G85" s="58">
        <f t="shared" si="9"/>
        <v>1473620.9529586618</v>
      </c>
      <c r="H85" s="58">
        <f t="shared" si="10"/>
        <v>2565489.9867494986</v>
      </c>
      <c r="I85" s="58">
        <f t="shared" si="11"/>
        <v>2931659.6247996544</v>
      </c>
      <c r="J85" s="58">
        <f t="shared" si="12"/>
        <v>3356266.9909268962</v>
      </c>
      <c r="K85" s="58">
        <f>-PPMT(0.35/12,A85-8,$C$82,$B$82)</f>
        <v>4702478.9459693693</v>
      </c>
      <c r="L85" s="58">
        <f>-PPMT(0.35/12,A85-9,$C$83,$B$83)</f>
        <v>9612610.5982396081</v>
      </c>
      <c r="M85" s="58">
        <f>-PPMT(0.35/12,A85-10,$C$84,$B$84)</f>
        <v>12576901.087083688</v>
      </c>
    </row>
    <row r="86" spans="1:14" x14ac:dyDescent="0.2">
      <c r="A86">
        <v>12</v>
      </c>
      <c r="B86" s="55">
        <v>0</v>
      </c>
      <c r="D86" s="58"/>
      <c r="E86" s="58">
        <f t="shared" si="7"/>
        <v>1150006.1424222668</v>
      </c>
      <c r="F86" s="58">
        <f t="shared" si="8"/>
        <v>1239621.0413229947</v>
      </c>
      <c r="G86" s="58">
        <f t="shared" si="9"/>
        <v>1516601.5640866228</v>
      </c>
      <c r="H86" s="58"/>
      <c r="I86" s="58">
        <f t="shared" si="11"/>
        <v>3017166.3638563105</v>
      </c>
      <c r="J86" s="58">
        <f t="shared" si="12"/>
        <v>3454158.1114955978</v>
      </c>
      <c r="K86" s="58">
        <f>-PPMT(0.35/12,A86-8,$C$82,$B$82)</f>
        <v>4839634.5818934767</v>
      </c>
      <c r="L86" s="58">
        <f>-PPMT(0.35/12,A86-9,$C$83,$B$83)</f>
        <v>9892978.4073549304</v>
      </c>
      <c r="M86" s="58">
        <f>-PPMT(0.35/12,A86-10,$C$84,$B$84)</f>
        <v>12943727.368790297</v>
      </c>
    </row>
    <row r="87" spans="1:14" x14ac:dyDescent="0.2">
      <c r="A87">
        <v>13</v>
      </c>
      <c r="B87" s="55">
        <v>0</v>
      </c>
      <c r="D87" s="58"/>
      <c r="E87" s="58"/>
      <c r="F87" s="58">
        <f t="shared" si="8"/>
        <v>1275776.6550282487</v>
      </c>
      <c r="G87" s="58">
        <f t="shared" si="9"/>
        <v>1560835.7763724825</v>
      </c>
      <c r="H87" s="58"/>
      <c r="I87" s="58"/>
      <c r="J87" s="58">
        <f t="shared" si="12"/>
        <v>3554904.3897475521</v>
      </c>
      <c r="K87" s="58">
        <f>-PPMT(0.35/12,A87-8,$C$82,$B$82)</f>
        <v>4980790.5905320356</v>
      </c>
      <c r="L87" s="58"/>
      <c r="M87" s="58">
        <f>-PPMT(0.35/12,A87-10,$C$84,$B$84)</f>
        <v>13321252.750380013</v>
      </c>
    </row>
    <row r="88" spans="1:14" ht="16.5" x14ac:dyDescent="0.3">
      <c r="A88" t="s">
        <v>124</v>
      </c>
      <c r="B88" s="56">
        <f>SUM(B75:B87)</f>
        <v>184517928.235239</v>
      </c>
      <c r="C88" s="56">
        <f t="shared" ref="C88:M88" si="13">SUM(C75:C87)</f>
        <v>68</v>
      </c>
      <c r="D88" s="56">
        <f t="shared" si="13"/>
        <v>8270922.0756929982</v>
      </c>
      <c r="E88" s="56">
        <f t="shared" si="13"/>
        <v>10138976.733895998</v>
      </c>
      <c r="F88" s="56">
        <f t="shared" si="13"/>
        <v>11247826.725284997</v>
      </c>
      <c r="G88" s="56">
        <f t="shared" si="13"/>
        <v>12556040.914586999</v>
      </c>
      <c r="H88" s="56">
        <f t="shared" si="13"/>
        <v>14342690.961386001</v>
      </c>
      <c r="I88" s="56">
        <f t="shared" si="13"/>
        <v>16867843.943803001</v>
      </c>
      <c r="J88" s="56">
        <f t="shared" si="13"/>
        <v>19874135.281277999</v>
      </c>
      <c r="K88" s="56">
        <f t="shared" si="13"/>
        <v>23531832.951925997</v>
      </c>
      <c r="L88" s="56">
        <f t="shared" si="13"/>
        <v>28845777.441131003</v>
      </c>
      <c r="M88" s="56">
        <f t="shared" si="13"/>
        <v>38841881.206253998</v>
      </c>
      <c r="N88" s="52">
        <f>SUM(D88:M88)</f>
        <v>184517928.235239</v>
      </c>
    </row>
    <row r="90" spans="1:14" x14ac:dyDescent="0.2">
      <c r="A90" t="s">
        <v>102</v>
      </c>
      <c r="B90" t="s">
        <v>101</v>
      </c>
      <c r="C90" t="s">
        <v>123</v>
      </c>
      <c r="D90" t="s">
        <v>113</v>
      </c>
      <c r="E90" t="s">
        <v>114</v>
      </c>
      <c r="F90" t="s">
        <v>115</v>
      </c>
      <c r="G90" t="s">
        <v>116</v>
      </c>
      <c r="H90" t="s">
        <v>117</v>
      </c>
      <c r="I90" t="s">
        <v>118</v>
      </c>
      <c r="J90" t="s">
        <v>119</v>
      </c>
      <c r="K90" t="s">
        <v>120</v>
      </c>
      <c r="L90" t="s">
        <v>121</v>
      </c>
      <c r="M90" t="s">
        <v>122</v>
      </c>
    </row>
    <row r="91" spans="1:14" x14ac:dyDescent="0.2">
      <c r="A91">
        <v>1</v>
      </c>
      <c r="B91" s="55">
        <v>8270922.0756930001</v>
      </c>
      <c r="C91">
        <v>10</v>
      </c>
    </row>
    <row r="92" spans="1:14" x14ac:dyDescent="0.2">
      <c r="A92">
        <v>2</v>
      </c>
      <c r="B92" s="55">
        <v>10138976.733896</v>
      </c>
      <c r="C92">
        <v>10</v>
      </c>
      <c r="D92" s="58">
        <f>-IPMT(0.35/12,A92-1,$C$75,$B$75)</f>
        <v>241235.22720771248</v>
      </c>
    </row>
    <row r="93" spans="1:14" x14ac:dyDescent="0.2">
      <c r="A93">
        <v>3</v>
      </c>
      <c r="B93" s="55">
        <v>11247826.725284999</v>
      </c>
      <c r="C93">
        <v>10</v>
      </c>
      <c r="D93" s="58">
        <f t="shared" ref="D93:D101" si="14">-IPMT(0.35/12,A93-1,$C$76,$B$75)</f>
        <v>220111.26620475258</v>
      </c>
      <c r="E93" s="58">
        <f t="shared" ref="E93:E102" si="15">-IPMT(0.35/12,A93-2,$C$76,$B$76)</f>
        <v>295720.15473863331</v>
      </c>
    </row>
    <row r="94" spans="1:14" x14ac:dyDescent="0.2">
      <c r="A94">
        <v>4</v>
      </c>
      <c r="B94" s="55">
        <v>12556040.914587</v>
      </c>
      <c r="C94">
        <v>9</v>
      </c>
      <c r="D94" s="58">
        <f t="shared" si="14"/>
        <v>198371.18967253965</v>
      </c>
      <c r="E94" s="58">
        <f t="shared" si="15"/>
        <v>269825.17626142508</v>
      </c>
      <c r="F94" s="58">
        <f t="shared" ref="F94:F103" si="16">-IPMT(0.35/12,A94-3,$C$77,$B$77)</f>
        <v>328061.61282081244</v>
      </c>
    </row>
    <row r="95" spans="1:14" x14ac:dyDescent="0.2">
      <c r="A95">
        <v>5</v>
      </c>
      <c r="B95" s="55">
        <v>14342690.961386001</v>
      </c>
      <c r="C95">
        <v>6</v>
      </c>
      <c r="D95" s="58">
        <f t="shared" si="14"/>
        <v>175997.02757480391</v>
      </c>
      <c r="E95" s="58">
        <f t="shared" si="15"/>
        <v>243174.92757863153</v>
      </c>
      <c r="F95" s="58">
        <f t="shared" si="16"/>
        <v>299334.62797697779</v>
      </c>
      <c r="G95" s="58">
        <f t="shared" ref="G95:G103" si="17">-IPMT(0.35/12,A95-4,$C$78,$B$78)</f>
        <v>366217.86000878748</v>
      </c>
    </row>
    <row r="96" spans="1:14" x14ac:dyDescent="0.2">
      <c r="A96">
        <v>6</v>
      </c>
      <c r="B96" s="55">
        <v>16867843.943803001</v>
      </c>
      <c r="C96">
        <v>6</v>
      </c>
      <c r="D96" s="58">
        <f t="shared" si="14"/>
        <v>152970.28574921747</v>
      </c>
      <c r="E96" s="58">
        <f t="shared" si="15"/>
        <v>215747.37997592325</v>
      </c>
      <c r="F96" s="58">
        <f t="shared" si="16"/>
        <v>269769.77274186449</v>
      </c>
      <c r="G96" s="58">
        <f t="shared" si="17"/>
        <v>330047.04312452942</v>
      </c>
      <c r="H96" s="58">
        <f t="shared" ref="H96:H101" si="18">-IPMT(0.35/12,A96-5,$C$79,$B$79)</f>
        <v>418328.48637375823</v>
      </c>
    </row>
    <row r="97" spans="1:14" x14ac:dyDescent="0.2">
      <c r="A97">
        <v>7</v>
      </c>
      <c r="B97" s="55">
        <v>19874135.281277999</v>
      </c>
      <c r="C97">
        <v>6</v>
      </c>
      <c r="D97" s="58">
        <f t="shared" si="14"/>
        <v>129271.93062038485</v>
      </c>
      <c r="E97" s="58">
        <f t="shared" si="15"/>
        <v>187519.8622348026</v>
      </c>
      <c r="F97" s="58">
        <f t="shared" si="16"/>
        <v>239342.60922906056</v>
      </c>
      <c r="G97" s="58">
        <f t="shared" si="17"/>
        <v>292821.24408114725</v>
      </c>
      <c r="H97" s="58">
        <f t="shared" si="18"/>
        <v>353520.49453379359</v>
      </c>
      <c r="I97" s="58">
        <f t="shared" ref="I97:I102" si="19">-IPMT(0.35/12,A97-6,$C$80,$B$80)</f>
        <v>491978.78169425414</v>
      </c>
    </row>
    <row r="98" spans="1:14" x14ac:dyDescent="0.2">
      <c r="A98">
        <v>8</v>
      </c>
      <c r="B98" s="55">
        <v>23531832.951926</v>
      </c>
      <c r="C98">
        <v>5</v>
      </c>
      <c r="D98" s="58">
        <f t="shared" si="14"/>
        <v>104882.37346696122</v>
      </c>
      <c r="E98" s="58">
        <f t="shared" si="15"/>
        <v>158469.04189289935</v>
      </c>
      <c r="F98" s="58">
        <f t="shared" si="16"/>
        <v>208027.98678046645</v>
      </c>
      <c r="G98" s="58">
        <f t="shared" si="17"/>
        <v>254509.69256566642</v>
      </c>
      <c r="H98" s="58">
        <f t="shared" si="18"/>
        <v>286822.26959849655</v>
      </c>
      <c r="I98" s="58">
        <f t="shared" si="19"/>
        <v>415760.79055083037</v>
      </c>
      <c r="J98" s="58">
        <f t="shared" ref="J98:J103" si="20">-IPMT(0.35/12,A98-7,$C$81,$B$81)</f>
        <v>579662.27903727489</v>
      </c>
    </row>
    <row r="99" spans="1:14" x14ac:dyDescent="0.2">
      <c r="A99">
        <v>9</v>
      </c>
      <c r="B99" s="55">
        <v>28845777.441130999</v>
      </c>
      <c r="C99">
        <v>3</v>
      </c>
      <c r="D99" s="58">
        <f t="shared" si="14"/>
        <v>79781.454229896073</v>
      </c>
      <c r="E99" s="58">
        <f t="shared" si="15"/>
        <v>128570.90595769048</v>
      </c>
      <c r="F99" s="58">
        <f t="shared" si="16"/>
        <v>175800.0211771217</v>
      </c>
      <c r="G99" s="58">
        <f t="shared" si="17"/>
        <v>215080.72079765084</v>
      </c>
      <c r="H99" s="58">
        <f t="shared" si="18"/>
        <v>218178.67976925333</v>
      </c>
      <c r="I99" s="58">
        <f t="shared" si="19"/>
        <v>337319.77466572326</v>
      </c>
      <c r="J99" s="58">
        <f t="shared" si="20"/>
        <v>489860.2467266692</v>
      </c>
      <c r="K99" s="58">
        <f>-IPMT(0.35/12,A99-8,$C$82,$B$82)</f>
        <v>686345.12776450824</v>
      </c>
    </row>
    <row r="100" spans="1:14" x14ac:dyDescent="0.2">
      <c r="A100">
        <v>10</v>
      </c>
      <c r="B100" s="55">
        <v>38841881.206253998</v>
      </c>
      <c r="C100">
        <v>3</v>
      </c>
      <c r="D100" s="58">
        <f t="shared" si="14"/>
        <v>53948.424848416536</v>
      </c>
      <c r="E100" s="58">
        <f t="shared" si="15"/>
        <v>97800.741057704741</v>
      </c>
      <c r="F100" s="58">
        <f t="shared" si="16"/>
        <v>142632.07324367936</v>
      </c>
      <c r="G100" s="58">
        <f t="shared" si="17"/>
        <v>174501.73735306796</v>
      </c>
      <c r="H100" s="58">
        <f t="shared" si="18"/>
        <v>147532.98523665723</v>
      </c>
      <c r="I100" s="58">
        <f t="shared" si="19"/>
        <v>256590.89581730062</v>
      </c>
      <c r="J100" s="58">
        <f t="shared" si="20"/>
        <v>397438.98847367056</v>
      </c>
      <c r="K100" s="58">
        <f>-IPMT(0.35/12,A100-8,$C$82,$B$82)</f>
        <v>556853.33754948189</v>
      </c>
      <c r="L100" s="58">
        <f>-IPMT(0.35/12,A100-9,$C$83,$B$83)</f>
        <v>841335.17536632076</v>
      </c>
    </row>
    <row r="101" spans="1:14" x14ac:dyDescent="0.2">
      <c r="A101">
        <v>11</v>
      </c>
      <c r="B101" s="55">
        <v>0</v>
      </c>
      <c r="D101" s="58">
        <f t="shared" si="14"/>
        <v>27361.932109977173</v>
      </c>
      <c r="E101" s="58">
        <f t="shared" si="15"/>
        <v>66133.113014802744</v>
      </c>
      <c r="F101" s="58">
        <f t="shared" si="16"/>
        <v>108496.72682884497</v>
      </c>
      <c r="G101" s="58">
        <f t="shared" si="17"/>
        <v>132739.20022468484</v>
      </c>
      <c r="H101" s="58">
        <f t="shared" si="18"/>
        <v>74826.791280193705</v>
      </c>
      <c r="I101" s="58">
        <f t="shared" si="19"/>
        <v>173507.42466913228</v>
      </c>
      <c r="J101" s="58">
        <f t="shared" si="20"/>
        <v>302322.11018829298</v>
      </c>
      <c r="K101" s="58">
        <f>-IPMT(0.35/12,A101-8,$C$82,$B$82)</f>
        <v>423584.70345318399</v>
      </c>
      <c r="L101" s="58">
        <f>-IPMT(0.35/12,A101-9,$C$83,$B$83)</f>
        <v>568913.01266317407</v>
      </c>
      <c r="M101" s="58">
        <f>-IPMT(0.35/12,A101-10,$C$84,$B$84)</f>
        <v>1132888.2018490748</v>
      </c>
    </row>
    <row r="102" spans="1:14" x14ac:dyDescent="0.2">
      <c r="A102">
        <v>12</v>
      </c>
      <c r="B102" s="55">
        <v>0</v>
      </c>
      <c r="D102" s="58"/>
      <c r="E102" s="58">
        <f t="shared" si="15"/>
        <v>33541.845820649447</v>
      </c>
      <c r="F102" s="58">
        <f t="shared" si="16"/>
        <v>73365.76614357793</v>
      </c>
      <c r="G102" s="58">
        <f t="shared" si="17"/>
        <v>89758.589096723896</v>
      </c>
      <c r="H102" s="58"/>
      <c r="I102" s="58">
        <f t="shared" si="19"/>
        <v>88000.685612475732</v>
      </c>
      <c r="J102" s="58">
        <f t="shared" si="20"/>
        <v>204430.98961959186</v>
      </c>
      <c r="K102" s="58">
        <f>-IPMT(0.35/12,A102-8,$C$82,$B$82)</f>
        <v>286429.06752907741</v>
      </c>
      <c r="L102" s="58">
        <f>-IPMT(0.35/12,A102-9,$C$83,$B$83)</f>
        <v>288545.20354785211</v>
      </c>
      <c r="M102" s="58">
        <f>-IPMT(0.35/12,A102-10,$C$84,$B$84)</f>
        <v>766061.92014246725</v>
      </c>
    </row>
    <row r="103" spans="1:14" x14ac:dyDescent="0.2">
      <c r="A103">
        <v>13</v>
      </c>
      <c r="B103" s="55">
        <v>0</v>
      </c>
      <c r="D103" s="58"/>
      <c r="E103" s="58"/>
      <c r="F103" s="58">
        <f t="shared" si="16"/>
        <v>37210.152438323923</v>
      </c>
      <c r="G103" s="58">
        <f t="shared" si="17"/>
        <v>45524.376810864072</v>
      </c>
      <c r="H103" s="58"/>
      <c r="I103" s="58"/>
      <c r="J103" s="58">
        <f t="shared" si="20"/>
        <v>103684.71136763693</v>
      </c>
      <c r="K103" s="58">
        <f>-IPMT(0.35/12,A103-8,$C$82,$B$82)</f>
        <v>145273.05889051768</v>
      </c>
      <c r="L103" s="58"/>
      <c r="M103" s="58">
        <f>-IPMT(0.35/12,A103-10,$C$84,$B$84)</f>
        <v>388536.53855275037</v>
      </c>
    </row>
    <row r="104" spans="1:14" ht="16.5" x14ac:dyDescent="0.3">
      <c r="A104" t="s">
        <v>124</v>
      </c>
      <c r="B104" s="56">
        <f t="shared" ref="B104:M104" si="21">SUM(B91:B103)</f>
        <v>184517928.235239</v>
      </c>
      <c r="C104" s="56">
        <f t="shared" si="21"/>
        <v>68</v>
      </c>
      <c r="D104" s="56">
        <f t="shared" si="21"/>
        <v>1383931.1116846621</v>
      </c>
      <c r="E104" s="56">
        <f t="shared" si="21"/>
        <v>1696503.1485331627</v>
      </c>
      <c r="F104" s="56">
        <f t="shared" si="21"/>
        <v>1882041.3493807297</v>
      </c>
      <c r="G104" s="56">
        <f t="shared" si="21"/>
        <v>1901200.4640631219</v>
      </c>
      <c r="H104" s="56">
        <f t="shared" si="21"/>
        <v>1499209.7067921527</v>
      </c>
      <c r="I104" s="56">
        <f t="shared" si="21"/>
        <v>1763158.3530097164</v>
      </c>
      <c r="J104" s="56">
        <f t="shared" si="21"/>
        <v>2077399.3254131363</v>
      </c>
      <c r="K104" s="56">
        <f t="shared" si="21"/>
        <v>2098485.2951867692</v>
      </c>
      <c r="L104" s="56">
        <f t="shared" si="21"/>
        <v>1698793.3915773469</v>
      </c>
      <c r="M104" s="56">
        <f t="shared" si="21"/>
        <v>2287486.6605442925</v>
      </c>
      <c r="N104" s="52">
        <f>SUM(D104:M104)</f>
        <v>18288208.806185089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备注</vt:lpstr>
      <vt:lpstr>初始底部资产明细</vt:lpstr>
      <vt:lpstr>配置-常压有循环保费7资1.5托1.5</vt:lpstr>
      <vt:lpstr>测算-常压有循环保费7资1.5托1.5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张晓鹏</dc:creator>
  <cp:lastModifiedBy>goldenstand</cp:lastModifiedBy>
  <dcterms:created xsi:type="dcterms:W3CDTF">2018-10-15T10:37:57Z</dcterms:created>
  <dcterms:modified xsi:type="dcterms:W3CDTF">2020-08-17T01:29:39Z</dcterms:modified>
</cp:coreProperties>
</file>